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80" yWindow="1230" windowWidth="20730" windowHeight="10620" tabRatio="887" firstSheet="6" activeTab="35"/>
  </bookViews>
  <sheets>
    <sheet name="Раздел 1.Поступления и выплаты" sheetId="1" r:id="rId1"/>
    <sheet name="Раздел 2.Сведения по выплатам" sheetId="2" r:id="rId2"/>
    <sheet name="3.1.1." sheetId="3" r:id="rId3"/>
    <sheet name="3.1.2" sheetId="4" r:id="rId4"/>
    <sheet name="3.1.3" sheetId="5" r:id="rId5"/>
    <sheet name="3.2.1" sheetId="6" r:id="rId6"/>
    <sheet name="3.2.2" sheetId="7" r:id="rId7"/>
    <sheet name="3.2.3" sheetId="8" r:id="rId8"/>
    <sheet name="3.2.4" sheetId="9" r:id="rId9"/>
    <sheet name="3.2.5" sheetId="10" r:id="rId10"/>
    <sheet name="3.3.1" sheetId="11" r:id="rId11"/>
    <sheet name="3.4.1" sheetId="12" r:id="rId12"/>
    <sheet name="3.5.1" sheetId="13" r:id="rId13"/>
    <sheet name="3.6.1" sheetId="14" r:id="rId14"/>
    <sheet name="3.6.3" sheetId="42" r:id="rId15"/>
    <sheet name="3.6.4" sheetId="16" r:id="rId16"/>
    <sheet name="3.6.5" sheetId="17" r:id="rId17"/>
    <sheet name="3.7.1" sheetId="18" r:id="rId18"/>
    <sheet name="3.7.2" sheetId="19" r:id="rId19"/>
    <sheet name="3.8.1 (112)" sheetId="20" r:id="rId20"/>
    <sheet name="3.8.2" sheetId="21" r:id="rId21"/>
    <sheet name="3.9" sheetId="22" r:id="rId22"/>
    <sheet name="3.10" sheetId="23" r:id="rId23"/>
    <sheet name="3.11" sheetId="24" r:id="rId24"/>
    <sheet name="3.12" sheetId="25" r:id="rId25"/>
    <sheet name="3.13.1" sheetId="26" r:id="rId26"/>
    <sheet name="3.13.2" sheetId="27" r:id="rId27"/>
    <sheet name="3.13.3" sheetId="28" r:id="rId28"/>
    <sheet name="3.13.4" sheetId="29" r:id="rId29"/>
    <sheet name="3.13.5" sheetId="30" r:id="rId30"/>
    <sheet name="3.13.6" sheetId="31" r:id="rId31"/>
    <sheet name="3.13.7" sheetId="32" r:id="rId32"/>
    <sheet name="3.13.8" sheetId="33" r:id="rId33"/>
    <sheet name="3.13.9" sheetId="37" r:id="rId34"/>
    <sheet name="3.13.10" sheetId="38" r:id="rId35"/>
    <sheet name="3.13.11" sheetId="39" r:id="rId36"/>
    <sheet name="Лист1" sheetId="40" r:id="rId37"/>
  </sheets>
  <definedNames>
    <definedName name="_xlnm.Print_Area" localSheetId="25">'3.13.1'!$A$1:$U$71</definedName>
    <definedName name="_xlnm.Print_Area" localSheetId="34">'3.13.10'!$A$1:$K$122</definedName>
    <definedName name="_xlnm.Print_Area" localSheetId="35">'3.13.11'!$A$1:$K$145</definedName>
    <definedName name="_xlnm.Print_Area" localSheetId="27">'3.13.3'!$A$1:$K$10</definedName>
    <definedName name="_xlnm.Print_Area" localSheetId="30">'3.13.6'!$A$1:$K$89</definedName>
    <definedName name="_xlnm.Print_Area" localSheetId="32">'3.13.8'!$A$1:$K$9</definedName>
    <definedName name="_xlnm.Print_Area" localSheetId="33">'3.13.9'!$A$1:$H$98</definedName>
    <definedName name="_xlnm.Print_Area" localSheetId="14">'3.6.3'!$A$1:$L$240</definedName>
    <definedName name="_xlnm.Print_Area" localSheetId="18">'3.7.2'!$A$1:$H$67</definedName>
    <definedName name="_xlnm.Print_Area" localSheetId="1">'Раздел 2.Сведения по выплатам'!$A$1:$I$64</definedName>
  </definedNames>
  <calcPr calcId="144525" refMode="R1C1"/>
</workbook>
</file>

<file path=xl/calcChain.xml><?xml version="1.0" encoding="utf-8"?>
<calcChain xmlns="http://schemas.openxmlformats.org/spreadsheetml/2006/main">
  <c r="I21" i="29" l="1"/>
  <c r="I15" i="29"/>
  <c r="E6" i="22"/>
  <c r="D6" i="22"/>
  <c r="O63" i="26" l="1"/>
  <c r="O40" i="26"/>
  <c r="M63" i="26"/>
  <c r="M40" i="26"/>
  <c r="M17" i="26"/>
  <c r="K17" i="29" l="1"/>
  <c r="K20" i="29"/>
  <c r="D17" i="29"/>
  <c r="J17" i="29"/>
  <c r="D16" i="29"/>
  <c r="I17" i="29"/>
  <c r="I13" i="29"/>
  <c r="C14" i="29"/>
  <c r="F19" i="29"/>
  <c r="F17" i="29"/>
  <c r="E10" i="29" l="1"/>
  <c r="C10" i="29"/>
  <c r="D10" i="29"/>
  <c r="C11" i="29" l="1"/>
  <c r="D11" i="29" l="1"/>
  <c r="D12" i="29"/>
  <c r="E12" i="29"/>
  <c r="C12" i="29"/>
  <c r="E16" i="12"/>
  <c r="E15" i="12"/>
  <c r="D16" i="12"/>
  <c r="D15" i="12"/>
  <c r="C15" i="12"/>
  <c r="C16" i="12"/>
  <c r="J87" i="31"/>
  <c r="K87" i="31"/>
  <c r="J97" i="39" l="1"/>
  <c r="K97" i="39"/>
  <c r="I97" i="39"/>
  <c r="J14" i="38"/>
  <c r="F97" i="37"/>
  <c r="F59" i="37"/>
  <c r="H47" i="37"/>
  <c r="G47" i="37"/>
  <c r="G26" i="37"/>
  <c r="G8" i="33"/>
  <c r="H8" i="33"/>
  <c r="F8" i="33"/>
  <c r="G7" i="33"/>
  <c r="H7" i="33"/>
  <c r="F7" i="33"/>
  <c r="K25" i="31"/>
  <c r="J25" i="31"/>
  <c r="I25" i="31"/>
  <c r="H65" i="19" l="1"/>
  <c r="G65" i="19"/>
  <c r="F65" i="19"/>
  <c r="F67" i="19" s="1"/>
  <c r="H22" i="19"/>
  <c r="G22" i="19"/>
  <c r="H20" i="19"/>
  <c r="G20" i="19"/>
  <c r="F22" i="19"/>
  <c r="L193" i="42"/>
  <c r="L115" i="42"/>
  <c r="L32" i="42"/>
  <c r="L148" i="42" l="1"/>
  <c r="L147" i="42"/>
  <c r="L226" i="42"/>
  <c r="K225" i="42"/>
  <c r="I225" i="42"/>
  <c r="D225" i="42" s="1"/>
  <c r="L225" i="42" s="1"/>
  <c r="K224" i="42"/>
  <c r="I224" i="42"/>
  <c r="D224" i="42" s="1"/>
  <c r="L224" i="42" s="1"/>
  <c r="K223" i="42"/>
  <c r="I223" i="42"/>
  <c r="D223" i="42" s="1"/>
  <c r="L223" i="42" s="1"/>
  <c r="K222" i="42"/>
  <c r="I222" i="42"/>
  <c r="D222" i="42" s="1"/>
  <c r="L222" i="42" s="1"/>
  <c r="K221" i="42"/>
  <c r="I221" i="42"/>
  <c r="D221" i="42" s="1"/>
  <c r="L221" i="42" s="1"/>
  <c r="K220" i="42"/>
  <c r="I220" i="42"/>
  <c r="D220" i="42" s="1"/>
  <c r="L220" i="42" s="1"/>
  <c r="K219" i="42"/>
  <c r="I219" i="42"/>
  <c r="D219" i="42" s="1"/>
  <c r="L219" i="42" s="1"/>
  <c r="K218" i="42"/>
  <c r="I218" i="42"/>
  <c r="D218" i="42" s="1"/>
  <c r="L218" i="42" s="1"/>
  <c r="K217" i="42"/>
  <c r="I217" i="42"/>
  <c r="D217" i="42" s="1"/>
  <c r="L217" i="42" s="1"/>
  <c r="K216" i="42"/>
  <c r="I216" i="42"/>
  <c r="D216" i="42" s="1"/>
  <c r="L216" i="42" s="1"/>
  <c r="K215" i="42"/>
  <c r="I215" i="42"/>
  <c r="D215" i="42" s="1"/>
  <c r="L215" i="42" s="1"/>
  <c r="K214" i="42"/>
  <c r="I214" i="42"/>
  <c r="D214" i="42" s="1"/>
  <c r="L214" i="42" s="1"/>
  <c r="K213" i="42"/>
  <c r="I213" i="42"/>
  <c r="D213" i="42" s="1"/>
  <c r="L213" i="42" s="1"/>
  <c r="K212" i="42"/>
  <c r="I212" i="42"/>
  <c r="D212" i="42" s="1"/>
  <c r="L212" i="42" s="1"/>
  <c r="K211" i="42"/>
  <c r="I211" i="42"/>
  <c r="D211" i="42" s="1"/>
  <c r="L211" i="42" s="1"/>
  <c r="K210" i="42"/>
  <c r="I210" i="42"/>
  <c r="D210" i="42" s="1"/>
  <c r="L210" i="42" s="1"/>
  <c r="K209" i="42"/>
  <c r="I209" i="42"/>
  <c r="D209" i="42" s="1"/>
  <c r="L209" i="42" s="1"/>
  <c r="K147" i="42"/>
  <c r="I147" i="42"/>
  <c r="D147" i="42" s="1"/>
  <c r="K146" i="42"/>
  <c r="I146" i="42"/>
  <c r="D146" i="42" s="1"/>
  <c r="L146" i="42" s="1"/>
  <c r="K145" i="42"/>
  <c r="I145" i="42"/>
  <c r="D145" i="42" s="1"/>
  <c r="L145" i="42" s="1"/>
  <c r="K144" i="42"/>
  <c r="I144" i="42"/>
  <c r="D144" i="42" s="1"/>
  <c r="L144" i="42" s="1"/>
  <c r="K143" i="42"/>
  <c r="I143" i="42"/>
  <c r="D143" i="42" s="1"/>
  <c r="L143" i="42" s="1"/>
  <c r="K142" i="42"/>
  <c r="I142" i="42"/>
  <c r="D142" i="42" s="1"/>
  <c r="L142" i="42" s="1"/>
  <c r="K141" i="42"/>
  <c r="I141" i="42"/>
  <c r="D141" i="42" s="1"/>
  <c r="L141" i="42" s="1"/>
  <c r="K140" i="42"/>
  <c r="I140" i="42"/>
  <c r="D140" i="42" s="1"/>
  <c r="L140" i="42" s="1"/>
  <c r="K139" i="42"/>
  <c r="I139" i="42"/>
  <c r="D139" i="42" s="1"/>
  <c r="L139" i="42" s="1"/>
  <c r="K138" i="42"/>
  <c r="I138" i="42"/>
  <c r="D138" i="42" s="1"/>
  <c r="L138" i="42" s="1"/>
  <c r="K137" i="42"/>
  <c r="I137" i="42"/>
  <c r="D137" i="42" s="1"/>
  <c r="L137" i="42" s="1"/>
  <c r="K136" i="42"/>
  <c r="I136" i="42"/>
  <c r="D136" i="42" s="1"/>
  <c r="L136" i="42" s="1"/>
  <c r="K135" i="42"/>
  <c r="I135" i="42"/>
  <c r="D135" i="42" s="1"/>
  <c r="L135" i="42" s="1"/>
  <c r="K134" i="42"/>
  <c r="I134" i="42"/>
  <c r="D134" i="42" s="1"/>
  <c r="L134" i="42" s="1"/>
  <c r="K133" i="42"/>
  <c r="I133" i="42"/>
  <c r="D133" i="42" s="1"/>
  <c r="L133" i="42" s="1"/>
  <c r="K132" i="42"/>
  <c r="I132" i="42"/>
  <c r="D132" i="42" s="1"/>
  <c r="L132" i="42" s="1"/>
  <c r="K131" i="42"/>
  <c r="I131" i="42"/>
  <c r="D131" i="42" s="1"/>
  <c r="L131" i="42" s="1"/>
  <c r="L65" i="42"/>
  <c r="L64" i="42"/>
  <c r="F237" i="42"/>
  <c r="F159" i="42"/>
  <c r="E69" i="42"/>
  <c r="K192" i="42"/>
  <c r="I192" i="42"/>
  <c r="D192" i="42" s="1"/>
  <c r="L192" i="42" s="1"/>
  <c r="K191" i="42"/>
  <c r="I191" i="42"/>
  <c r="D191" i="42" s="1"/>
  <c r="L191" i="42" s="1"/>
  <c r="K190" i="42"/>
  <c r="I190" i="42"/>
  <c r="D190" i="42" s="1"/>
  <c r="L190" i="42" s="1"/>
  <c r="K189" i="42"/>
  <c r="I189" i="42"/>
  <c r="D189" i="42" s="1"/>
  <c r="L189" i="42" s="1"/>
  <c r="K114" i="42"/>
  <c r="I114" i="42"/>
  <c r="D114" i="42" s="1"/>
  <c r="L114" i="42" s="1"/>
  <c r="K113" i="42"/>
  <c r="I113" i="42"/>
  <c r="D113" i="42" s="1"/>
  <c r="L113" i="42" s="1"/>
  <c r="K112" i="42"/>
  <c r="I112" i="42"/>
  <c r="D112" i="42" s="1"/>
  <c r="L112" i="42" s="1"/>
  <c r="K111" i="42"/>
  <c r="I111" i="42"/>
  <c r="D111" i="42" s="1"/>
  <c r="L111" i="42" s="1"/>
  <c r="K180" i="42"/>
  <c r="I180" i="42"/>
  <c r="D180" i="42" s="1"/>
  <c r="L180" i="42" s="1"/>
  <c r="K179" i="42"/>
  <c r="I179" i="42"/>
  <c r="D179" i="42" s="1"/>
  <c r="L179" i="42" s="1"/>
  <c r="K178" i="42"/>
  <c r="I178" i="42"/>
  <c r="D178" i="42" s="1"/>
  <c r="L178" i="42" s="1"/>
  <c r="K177" i="42"/>
  <c r="I177" i="42"/>
  <c r="D177" i="42" s="1"/>
  <c r="L177" i="42" s="1"/>
  <c r="K176" i="42"/>
  <c r="I176" i="42"/>
  <c r="D176" i="42" s="1"/>
  <c r="L176" i="42" s="1"/>
  <c r="K175" i="42"/>
  <c r="I175" i="42"/>
  <c r="D175" i="42" s="1"/>
  <c r="L175" i="42" s="1"/>
  <c r="K174" i="42"/>
  <c r="I174" i="42"/>
  <c r="D174" i="42" s="1"/>
  <c r="L174" i="42" s="1"/>
  <c r="K173" i="42"/>
  <c r="I173" i="42"/>
  <c r="D173" i="42" s="1"/>
  <c r="L173" i="42" s="1"/>
  <c r="K172" i="42"/>
  <c r="I172" i="42"/>
  <c r="D172" i="42" s="1"/>
  <c r="L172" i="42" s="1"/>
  <c r="K171" i="42"/>
  <c r="I171" i="42"/>
  <c r="D171" i="42" s="1"/>
  <c r="L171" i="42" s="1"/>
  <c r="K170" i="42"/>
  <c r="I170" i="42"/>
  <c r="D170" i="42" s="1"/>
  <c r="L170" i="42" s="1"/>
  <c r="K169" i="42"/>
  <c r="I169" i="42"/>
  <c r="D169" i="42" s="1"/>
  <c r="L169" i="42" s="1"/>
  <c r="L181" i="42" s="1"/>
  <c r="K102" i="42"/>
  <c r="I102" i="42"/>
  <c r="K101" i="42"/>
  <c r="I101" i="42"/>
  <c r="K100" i="42"/>
  <c r="I100" i="42"/>
  <c r="K99" i="42"/>
  <c r="I99" i="42"/>
  <c r="K98" i="42"/>
  <c r="I98" i="42"/>
  <c r="K97" i="42"/>
  <c r="I97" i="42"/>
  <c r="K96" i="42"/>
  <c r="I96" i="42"/>
  <c r="K95" i="42"/>
  <c r="I95" i="42"/>
  <c r="K94" i="42"/>
  <c r="I94" i="42"/>
  <c r="K93" i="42"/>
  <c r="I93" i="42"/>
  <c r="K92" i="42"/>
  <c r="I92" i="42"/>
  <c r="K91" i="42"/>
  <c r="I91" i="42"/>
  <c r="K13" i="42"/>
  <c r="K15" i="42"/>
  <c r="K14" i="42"/>
  <c r="D91" i="42" l="1"/>
  <c r="L91" i="42" s="1"/>
  <c r="D92" i="42"/>
  <c r="L92" i="42" s="1"/>
  <c r="D93" i="42"/>
  <c r="L93" i="42" s="1"/>
  <c r="D94" i="42"/>
  <c r="L94" i="42" s="1"/>
  <c r="D95" i="42"/>
  <c r="L95" i="42" s="1"/>
  <c r="D96" i="42"/>
  <c r="L96" i="42" s="1"/>
  <c r="D97" i="42"/>
  <c r="L97" i="42" s="1"/>
  <c r="D98" i="42"/>
  <c r="L98" i="42" s="1"/>
  <c r="D99" i="42"/>
  <c r="L99" i="42" s="1"/>
  <c r="D100" i="42"/>
  <c r="L100" i="42" s="1"/>
  <c r="D101" i="42"/>
  <c r="L101" i="42" s="1"/>
  <c r="D102" i="42"/>
  <c r="L102" i="42" s="1"/>
  <c r="L103" i="42" l="1"/>
  <c r="K14" i="7"/>
  <c r="J14" i="7"/>
  <c r="I14" i="7"/>
  <c r="I18" i="42" l="1"/>
  <c r="G238" i="42"/>
  <c r="D234" i="42"/>
  <c r="C233" i="42"/>
  <c r="C232" i="42"/>
  <c r="C231" i="42"/>
  <c r="C230" i="42"/>
  <c r="F226" i="42"/>
  <c r="E226" i="42"/>
  <c r="C226" i="42"/>
  <c r="G226" i="42"/>
  <c r="G200" i="42"/>
  <c r="C200" i="42"/>
  <c r="F199" i="42"/>
  <c r="F193" i="42"/>
  <c r="E193" i="42"/>
  <c r="C193" i="42"/>
  <c r="G193" i="42"/>
  <c r="F181" i="42"/>
  <c r="E181" i="42"/>
  <c r="C181" i="42"/>
  <c r="I181" i="42"/>
  <c r="G181" i="42"/>
  <c r="G160" i="42"/>
  <c r="C53" i="19" s="1"/>
  <c r="D156" i="42"/>
  <c r="C155" i="42"/>
  <c r="C154" i="42"/>
  <c r="C153" i="42"/>
  <c r="C152" i="42"/>
  <c r="F148" i="42"/>
  <c r="E148" i="42"/>
  <c r="C148" i="42"/>
  <c r="G148" i="42"/>
  <c r="C123" i="42"/>
  <c r="F122" i="42"/>
  <c r="G123" i="42"/>
  <c r="G115" i="42"/>
  <c r="F115" i="42"/>
  <c r="E115" i="42"/>
  <c r="C115" i="42"/>
  <c r="K115" i="42"/>
  <c r="F103" i="42"/>
  <c r="E103" i="42"/>
  <c r="C103" i="42"/>
  <c r="G103" i="42"/>
  <c r="G82" i="42"/>
  <c r="F81" i="42"/>
  <c r="C72" i="42"/>
  <c r="C71" i="42"/>
  <c r="C70" i="42"/>
  <c r="E77" i="42"/>
  <c r="C13" i="14" s="1"/>
  <c r="G65" i="42"/>
  <c r="F65" i="42"/>
  <c r="E65" i="42"/>
  <c r="C65" i="42"/>
  <c r="K64" i="42"/>
  <c r="I64" i="42"/>
  <c r="K63" i="42"/>
  <c r="I63" i="42"/>
  <c r="K62" i="42"/>
  <c r="I62" i="42"/>
  <c r="K61" i="42"/>
  <c r="I61" i="42"/>
  <c r="K60" i="42"/>
  <c r="I60" i="42"/>
  <c r="K59" i="42"/>
  <c r="I59" i="42"/>
  <c r="K58" i="42"/>
  <c r="I58" i="42"/>
  <c r="K57" i="42"/>
  <c r="I57" i="42"/>
  <c r="K56" i="42"/>
  <c r="I56" i="42"/>
  <c r="K55" i="42"/>
  <c r="I55" i="42"/>
  <c r="K54" i="42"/>
  <c r="I54" i="42"/>
  <c r="K53" i="42"/>
  <c r="I53" i="42"/>
  <c r="K52" i="42"/>
  <c r="I52" i="42"/>
  <c r="K51" i="42"/>
  <c r="I51" i="42"/>
  <c r="K50" i="42"/>
  <c r="I50" i="42"/>
  <c r="K49" i="42"/>
  <c r="I49" i="42"/>
  <c r="K48" i="42"/>
  <c r="K65" i="42" s="1"/>
  <c r="I48" i="42"/>
  <c r="C40" i="42"/>
  <c r="G32" i="42"/>
  <c r="F32" i="42"/>
  <c r="E32" i="42"/>
  <c r="C32" i="42"/>
  <c r="K31" i="42"/>
  <c r="I31" i="42"/>
  <c r="K30" i="42"/>
  <c r="I30" i="42"/>
  <c r="D30" i="42" s="1"/>
  <c r="L30" i="42" s="1"/>
  <c r="K29" i="42"/>
  <c r="I29" i="42"/>
  <c r="D29" i="42" s="1"/>
  <c r="L29" i="42" s="1"/>
  <c r="K28" i="42"/>
  <c r="K32" i="42" s="1"/>
  <c r="I28" i="42"/>
  <c r="D28" i="42" s="1"/>
  <c r="G20" i="42"/>
  <c r="F20" i="42"/>
  <c r="E20" i="42"/>
  <c r="C20" i="42"/>
  <c r="K19" i="42"/>
  <c r="I19" i="42"/>
  <c r="D19" i="42" s="1"/>
  <c r="L19" i="42" s="1"/>
  <c r="K18" i="42"/>
  <c r="K17" i="42"/>
  <c r="I17" i="42"/>
  <c r="K16" i="42"/>
  <c r="I16" i="42"/>
  <c r="I15" i="42"/>
  <c r="D15" i="42" s="1"/>
  <c r="L15" i="42" s="1"/>
  <c r="I14" i="42"/>
  <c r="I13" i="42"/>
  <c r="K12" i="42"/>
  <c r="I12" i="42"/>
  <c r="K11" i="42"/>
  <c r="I11" i="42"/>
  <c r="K10" i="42"/>
  <c r="I10" i="42"/>
  <c r="D10" i="42" s="1"/>
  <c r="L10" i="42" s="1"/>
  <c r="K9" i="42"/>
  <c r="I9" i="42"/>
  <c r="D9" i="42" s="1"/>
  <c r="L9" i="42" s="1"/>
  <c r="K8" i="42"/>
  <c r="I8" i="42"/>
  <c r="D8" i="42" s="1"/>
  <c r="D16" i="42" l="1"/>
  <c r="L16" i="42" s="1"/>
  <c r="D48" i="42"/>
  <c r="D49" i="42"/>
  <c r="L49" i="42" s="1"/>
  <c r="D50" i="42"/>
  <c r="L50" i="42" s="1"/>
  <c r="D51" i="42"/>
  <c r="L51" i="42" s="1"/>
  <c r="D52" i="42"/>
  <c r="L52" i="42" s="1"/>
  <c r="D53" i="42"/>
  <c r="L53" i="42" s="1"/>
  <c r="D54" i="42"/>
  <c r="L54" i="42" s="1"/>
  <c r="D55" i="42"/>
  <c r="L55" i="42" s="1"/>
  <c r="D56" i="42"/>
  <c r="L56" i="42" s="1"/>
  <c r="D57" i="42"/>
  <c r="L57" i="42" s="1"/>
  <c r="D58" i="42"/>
  <c r="L58" i="42" s="1"/>
  <c r="D59" i="42"/>
  <c r="L59" i="42" s="1"/>
  <c r="D60" i="42"/>
  <c r="L60" i="42" s="1"/>
  <c r="D61" i="42"/>
  <c r="L61" i="42" s="1"/>
  <c r="D62" i="42"/>
  <c r="L62" i="42" s="1"/>
  <c r="D63" i="42"/>
  <c r="L63" i="42" s="1"/>
  <c r="D64" i="42"/>
  <c r="I148" i="42"/>
  <c r="G40" i="42"/>
  <c r="D31" i="42"/>
  <c r="L31" i="42" s="1"/>
  <c r="D17" i="42"/>
  <c r="L17" i="42" s="1"/>
  <c r="D13" i="42"/>
  <c r="L13" i="42" s="1"/>
  <c r="D12" i="42"/>
  <c r="L12" i="42" s="1"/>
  <c r="D11" i="42"/>
  <c r="L11" i="42" s="1"/>
  <c r="D14" i="42"/>
  <c r="L14" i="42" s="1"/>
  <c r="D18" i="42"/>
  <c r="L18" i="42" s="1"/>
  <c r="K20" i="42"/>
  <c r="L8" i="42"/>
  <c r="L20" i="42" s="1"/>
  <c r="L28" i="42"/>
  <c r="L48" i="42"/>
  <c r="I20" i="42"/>
  <c r="I32" i="42"/>
  <c r="I65" i="42"/>
  <c r="K103" i="42"/>
  <c r="I103" i="42"/>
  <c r="I115" i="42"/>
  <c r="I226" i="42"/>
  <c r="I193" i="42"/>
  <c r="K193" i="42"/>
  <c r="K226" i="42"/>
  <c r="D65" i="42" l="1"/>
  <c r="D32" i="42"/>
  <c r="O2" i="42"/>
  <c r="D20" i="42"/>
  <c r="K148" i="42"/>
  <c r="D226" i="42"/>
  <c r="K181" i="42"/>
  <c r="D181" i="42"/>
  <c r="D115" i="42"/>
  <c r="D8" i="19"/>
  <c r="D103" i="42"/>
  <c r="E8" i="19" l="1"/>
  <c r="P2" i="42"/>
  <c r="D148" i="42"/>
  <c r="D12" i="14"/>
  <c r="E12" i="14"/>
  <c r="Q2" i="42"/>
  <c r="C12" i="14"/>
  <c r="C8" i="19"/>
  <c r="F8" i="19" s="1"/>
  <c r="D193" i="42"/>
  <c r="H28" i="39" l="1"/>
  <c r="G28" i="39"/>
  <c r="C16" i="29" l="1"/>
  <c r="L9" i="27"/>
  <c r="F93" i="39" l="1"/>
  <c r="F95" i="37"/>
  <c r="O22" i="26" l="1"/>
  <c r="F127" i="37" l="1"/>
  <c r="O20" i="26"/>
  <c r="G97" i="37" l="1"/>
  <c r="J21" i="29"/>
  <c r="E18" i="29"/>
  <c r="D18" i="29"/>
  <c r="K19" i="29"/>
  <c r="J19" i="29"/>
  <c r="I19" i="29"/>
  <c r="E11" i="29"/>
  <c r="K10" i="28" l="1"/>
  <c r="J10" i="28"/>
  <c r="J49" i="39"/>
  <c r="I49" i="39"/>
  <c r="K49" i="39"/>
  <c r="I41" i="1"/>
  <c r="G41" i="1"/>
  <c r="F15" i="2"/>
  <c r="G83" i="37" l="1"/>
  <c r="F83" i="37"/>
  <c r="M20" i="26" l="1"/>
  <c r="H83" i="37"/>
  <c r="K21" i="29" l="1"/>
  <c r="E41" i="1" l="1"/>
  <c r="C30" i="19"/>
  <c r="H8" i="19" l="1"/>
  <c r="F48" i="39" l="1"/>
  <c r="I12" i="39"/>
  <c r="F47" i="37" l="1"/>
  <c r="E19" i="29"/>
  <c r="D19" i="29"/>
  <c r="C19" i="29"/>
  <c r="I8" i="27" l="1"/>
  <c r="I7" i="27"/>
  <c r="J14" i="9" l="1"/>
  <c r="I14" i="9"/>
  <c r="F13" i="9"/>
  <c r="K163" i="39" l="1"/>
  <c r="J163" i="39"/>
  <c r="I163" i="39"/>
  <c r="F160" i="39"/>
  <c r="M22" i="26"/>
  <c r="I80" i="39"/>
  <c r="F79" i="39"/>
  <c r="K17" i="31"/>
  <c r="J17" i="31"/>
  <c r="H22" i="26" l="1"/>
  <c r="F65" i="38" l="1"/>
  <c r="F7" i="28"/>
  <c r="H15" i="2"/>
  <c r="F144" i="39" l="1"/>
  <c r="F10" i="39"/>
  <c r="H9" i="39"/>
  <c r="G9" i="39"/>
  <c r="F9" i="39"/>
  <c r="H8" i="39"/>
  <c r="G8" i="39"/>
  <c r="F8" i="39"/>
  <c r="I122" i="38"/>
  <c r="Q21" i="26" s="1"/>
  <c r="K122" i="38"/>
  <c r="J122" i="38"/>
  <c r="F121" i="38"/>
  <c r="G59" i="37"/>
  <c r="H59" i="37"/>
  <c r="P20" i="26" l="1"/>
  <c r="E15" i="6" l="1"/>
  <c r="K14" i="9"/>
  <c r="D15" i="6" l="1"/>
  <c r="E70" i="1" l="1"/>
  <c r="I10" i="23"/>
  <c r="F78" i="39" l="1"/>
  <c r="I100" i="38"/>
  <c r="I87" i="31"/>
  <c r="C9" i="7"/>
  <c r="C6" i="7"/>
  <c r="F96" i="39"/>
  <c r="F94" i="39"/>
  <c r="F26" i="37"/>
  <c r="C7" i="7"/>
  <c r="C8" i="7"/>
  <c r="C10" i="7"/>
  <c r="C11" i="7"/>
  <c r="C12" i="7"/>
  <c r="C13" i="7"/>
  <c r="C14" i="7"/>
  <c r="C15" i="7"/>
  <c r="K80" i="39" l="1"/>
  <c r="J80" i="39"/>
  <c r="F77" i="39"/>
  <c r="F10" i="9" l="1"/>
  <c r="F11" i="9"/>
  <c r="F12" i="9"/>
  <c r="F9" i="9"/>
  <c r="F45" i="26"/>
  <c r="C16" i="20"/>
  <c r="C15" i="20"/>
  <c r="L17" i="20"/>
  <c r="F78" i="31"/>
  <c r="F97" i="38"/>
  <c r="I16" i="7" l="1"/>
  <c r="D70" i="1"/>
  <c r="D66" i="1" s="1"/>
  <c r="E66" i="1"/>
  <c r="F92" i="39"/>
  <c r="I22" i="7" l="1"/>
  <c r="C15" i="6" l="1"/>
  <c r="G64" i="38"/>
  <c r="G63" i="38"/>
  <c r="N21" i="26"/>
  <c r="N44" i="26"/>
  <c r="N34" i="26" s="1"/>
  <c r="N48" i="26" s="1"/>
  <c r="N67" i="26"/>
  <c r="N57" i="26" s="1"/>
  <c r="N71" i="26" s="1"/>
  <c r="N11" i="26" l="1"/>
  <c r="N25" i="26" s="1"/>
  <c r="F91" i="39" l="1"/>
  <c r="F95" i="38"/>
  <c r="E20" i="29"/>
  <c r="C20" i="29"/>
  <c r="F87" i="1" l="1"/>
  <c r="D20" i="29"/>
  <c r="E17" i="29" l="1"/>
  <c r="H87" i="1"/>
  <c r="K131" i="39"/>
  <c r="J131" i="39"/>
  <c r="I131" i="39"/>
  <c r="P22" i="26" s="1"/>
  <c r="F130" i="39"/>
  <c r="F114" i="39"/>
  <c r="J14" i="26"/>
  <c r="I10" i="28"/>
  <c r="U43" i="26" l="1"/>
  <c r="U44" i="26"/>
  <c r="O44" i="26"/>
  <c r="I145" i="39" l="1"/>
  <c r="K145" i="39"/>
  <c r="J145" i="39"/>
  <c r="Q22" i="26" l="1"/>
  <c r="U66" i="26" l="1"/>
  <c r="C21" i="12"/>
  <c r="D27" i="1" s="1"/>
  <c r="D21" i="12"/>
  <c r="D12" i="12" s="1"/>
  <c r="C11" i="11"/>
  <c r="C18" i="11" s="1"/>
  <c r="D18" i="11"/>
  <c r="E18" i="11"/>
  <c r="M6" i="21"/>
  <c r="N6" i="21"/>
  <c r="H30" i="39"/>
  <c r="G30" i="39"/>
  <c r="H29" i="39"/>
  <c r="G29" i="39"/>
  <c r="F30" i="39"/>
  <c r="F29" i="39"/>
  <c r="F28" i="39"/>
  <c r="M43" i="26" l="1"/>
  <c r="C9" i="29"/>
  <c r="C6" i="22" l="1"/>
  <c r="K16" i="7"/>
  <c r="J16" i="7"/>
  <c r="O21" i="26" l="1"/>
  <c r="F11" i="39" l="1"/>
  <c r="H41" i="1" l="1"/>
  <c r="F41" i="1"/>
  <c r="F99" i="38"/>
  <c r="I106" i="39"/>
  <c r="C12" i="12" l="1"/>
  <c r="I110" i="38" l="1"/>
  <c r="J110" i="38"/>
  <c r="K110" i="38"/>
  <c r="F107" i="38"/>
  <c r="F154" i="39"/>
  <c r="P21" i="26" l="1"/>
  <c r="C104" i="39"/>
  <c r="U20" i="26" l="1"/>
  <c r="H154" i="39"/>
  <c r="G154" i="39"/>
  <c r="I17" i="26"/>
  <c r="J7" i="29"/>
  <c r="J8" i="29"/>
  <c r="K8" i="29" s="1"/>
  <c r="K7" i="29" l="1"/>
  <c r="I71" i="31"/>
  <c r="O17" i="26"/>
  <c r="O11" i="26" s="1"/>
  <c r="F82" i="31"/>
  <c r="F94" i="38"/>
  <c r="F93" i="38"/>
  <c r="F92" i="38"/>
  <c r="F89" i="39"/>
  <c r="J71" i="31"/>
  <c r="K71" i="31"/>
  <c r="F69" i="31"/>
  <c r="F68" i="31"/>
  <c r="F83" i="31" l="1"/>
  <c r="F91" i="38" l="1"/>
  <c r="K100" i="38"/>
  <c r="J100" i="38"/>
  <c r="F90" i="38"/>
  <c r="F88" i="39"/>
  <c r="E22" i="26" l="1"/>
  <c r="G22" i="26"/>
  <c r="G11" i="26" s="1"/>
  <c r="G25" i="26" s="1"/>
  <c r="D35" i="26"/>
  <c r="F35" i="26"/>
  <c r="F42" i="26"/>
  <c r="J35" i="26"/>
  <c r="J42" i="26"/>
  <c r="U34" i="26"/>
  <c r="P43" i="26"/>
  <c r="D58" i="26"/>
  <c r="F58" i="26"/>
  <c r="F65" i="26"/>
  <c r="J58" i="26"/>
  <c r="J65" i="26"/>
  <c r="U67" i="26"/>
  <c r="U57" i="26" s="1"/>
  <c r="U71" i="26" s="1"/>
  <c r="P66" i="26"/>
  <c r="D12" i="26"/>
  <c r="D14" i="26"/>
  <c r="F12" i="26"/>
  <c r="F14" i="26"/>
  <c r="C14" i="26" s="1"/>
  <c r="F19" i="26"/>
  <c r="J12" i="26"/>
  <c r="J19" i="26"/>
  <c r="K20" i="26"/>
  <c r="U21" i="26"/>
  <c r="U11" i="26" s="1"/>
  <c r="U25" i="26" s="1"/>
  <c r="I22" i="1"/>
  <c r="G22" i="1"/>
  <c r="G58" i="26"/>
  <c r="G63" i="26"/>
  <c r="G66" i="26"/>
  <c r="G68" i="26"/>
  <c r="K66" i="26"/>
  <c r="K57" i="26" s="1"/>
  <c r="K71" i="26" s="1"/>
  <c r="L66" i="26"/>
  <c r="L68" i="26"/>
  <c r="Q63" i="26"/>
  <c r="Q57" i="26" s="1"/>
  <c r="R63" i="26"/>
  <c r="R68" i="26"/>
  <c r="S63" i="26"/>
  <c r="S66" i="26"/>
  <c r="S67" i="26"/>
  <c r="T57" i="26"/>
  <c r="T71" i="26" s="1"/>
  <c r="S43" i="26"/>
  <c r="S34" i="26" s="1"/>
  <c r="S48" i="26" s="1"/>
  <c r="T34" i="26"/>
  <c r="T48" i="26" s="1"/>
  <c r="Q40" i="26"/>
  <c r="Q34" i="26" s="1"/>
  <c r="R45" i="26"/>
  <c r="G34" i="26"/>
  <c r="G48" i="26" s="1"/>
  <c r="J75" i="38"/>
  <c r="F143" i="39"/>
  <c r="I116" i="39"/>
  <c r="H127" i="37"/>
  <c r="O66" i="26" s="1"/>
  <c r="G127" i="37"/>
  <c r="O43" i="26" s="1"/>
  <c r="C7" i="29"/>
  <c r="F82" i="38"/>
  <c r="F81" i="38"/>
  <c r="K83" i="38"/>
  <c r="J83" i="38"/>
  <c r="I83" i="38"/>
  <c r="D18" i="1"/>
  <c r="D17" i="1" s="1"/>
  <c r="K75" i="38"/>
  <c r="I75" i="38"/>
  <c r="H30" i="19"/>
  <c r="G30" i="19"/>
  <c r="H29" i="19"/>
  <c r="G29" i="19"/>
  <c r="E42" i="19"/>
  <c r="H42" i="19" s="1"/>
  <c r="H41" i="19" s="1"/>
  <c r="D42" i="19"/>
  <c r="G42" i="19" s="1"/>
  <c r="G41" i="19" s="1"/>
  <c r="E41" i="19"/>
  <c r="D41" i="19"/>
  <c r="E38" i="19"/>
  <c r="H38" i="19" s="1"/>
  <c r="D38" i="19"/>
  <c r="G38" i="19" s="1"/>
  <c r="E35" i="19"/>
  <c r="H35" i="19" s="1"/>
  <c r="H34" i="19" s="1"/>
  <c r="D35" i="19"/>
  <c r="G35" i="19" s="1"/>
  <c r="G34" i="19" s="1"/>
  <c r="D11" i="14"/>
  <c r="G58" i="1"/>
  <c r="G57" i="1"/>
  <c r="K58" i="1"/>
  <c r="I58" i="1"/>
  <c r="I57" i="1" s="1"/>
  <c r="D63" i="26"/>
  <c r="K9" i="33"/>
  <c r="J9" i="33"/>
  <c r="K14" i="38"/>
  <c r="H67" i="26" s="1"/>
  <c r="F68" i="26"/>
  <c r="F22" i="26"/>
  <c r="K32" i="39"/>
  <c r="J68" i="26" s="1"/>
  <c r="J32" i="39"/>
  <c r="J45" i="26" s="1"/>
  <c r="J17" i="1"/>
  <c r="K17" i="1"/>
  <c r="K10" i="1" s="1"/>
  <c r="J27" i="1"/>
  <c r="E14" i="6"/>
  <c r="I21" i="1" s="1"/>
  <c r="D14" i="6"/>
  <c r="G21" i="1" s="1"/>
  <c r="E43" i="26"/>
  <c r="E34" i="26" s="1"/>
  <c r="E48" i="26" s="1"/>
  <c r="C41" i="26"/>
  <c r="C39" i="26"/>
  <c r="C64" i="26"/>
  <c r="C62" i="26"/>
  <c r="I57" i="26"/>
  <c r="I71" i="26" s="1"/>
  <c r="E21" i="12"/>
  <c r="E12" i="12" s="1"/>
  <c r="C14" i="6"/>
  <c r="E21" i="1" s="1"/>
  <c r="K66" i="38"/>
  <c r="J66" i="38"/>
  <c r="I66" i="38"/>
  <c r="K34" i="26"/>
  <c r="K48" i="26" s="1"/>
  <c r="L34" i="26"/>
  <c r="L48" i="26" s="1"/>
  <c r="E57" i="26"/>
  <c r="E71" i="26" s="1"/>
  <c r="B10" i="37"/>
  <c r="B11" i="37" s="1"/>
  <c r="B12" i="37" s="1"/>
  <c r="B13" i="37" s="1"/>
  <c r="B14" i="37" s="1"/>
  <c r="B15" i="37" s="1"/>
  <c r="B17" i="37" s="1"/>
  <c r="B18" i="37" s="1"/>
  <c r="B19" i="37" s="1"/>
  <c r="I9" i="33"/>
  <c r="C8" i="29"/>
  <c r="E11" i="1"/>
  <c r="D30" i="1"/>
  <c r="J116" i="39"/>
  <c r="P45" i="26" s="1"/>
  <c r="K116" i="39"/>
  <c r="P68" i="26" s="1"/>
  <c r="B114" i="37"/>
  <c r="H115" i="37"/>
  <c r="G115" i="37"/>
  <c r="F115" i="37"/>
  <c r="J106" i="39"/>
  <c r="K106" i="39"/>
  <c r="K56" i="38"/>
  <c r="J56" i="38"/>
  <c r="I56" i="38"/>
  <c r="T21" i="26" s="1"/>
  <c r="T11" i="26" s="1"/>
  <c r="T25" i="26" s="1"/>
  <c r="K48" i="38"/>
  <c r="J48" i="38"/>
  <c r="I47" i="38"/>
  <c r="I48" i="38" s="1"/>
  <c r="S21" i="26" s="1"/>
  <c r="J61" i="31"/>
  <c r="K61" i="31"/>
  <c r="I61" i="31"/>
  <c r="S17" i="26" s="1"/>
  <c r="H106" i="37"/>
  <c r="G106" i="37"/>
  <c r="F106" i="37"/>
  <c r="S20" i="26" s="1"/>
  <c r="B105" i="37"/>
  <c r="I123" i="39"/>
  <c r="I124" i="39"/>
  <c r="K51" i="31"/>
  <c r="J51" i="31"/>
  <c r="I51" i="31"/>
  <c r="R17" i="26" s="1"/>
  <c r="J40" i="38"/>
  <c r="K40" i="38"/>
  <c r="I40" i="38"/>
  <c r="K43" i="31"/>
  <c r="J63" i="26" s="1"/>
  <c r="J43" i="31"/>
  <c r="J40" i="26" s="1"/>
  <c r="I43" i="31"/>
  <c r="J17" i="26" s="1"/>
  <c r="K31" i="38"/>
  <c r="J31" i="38"/>
  <c r="I31" i="38"/>
  <c r="O68" i="26"/>
  <c r="O45" i="26"/>
  <c r="B91" i="37"/>
  <c r="J71" i="39"/>
  <c r="K71" i="39"/>
  <c r="I70" i="39"/>
  <c r="I69" i="39"/>
  <c r="H80" i="37"/>
  <c r="G80" i="37"/>
  <c r="F80" i="37"/>
  <c r="L20" i="26" s="1"/>
  <c r="B79" i="37"/>
  <c r="K62" i="39"/>
  <c r="J62" i="39"/>
  <c r="I61" i="39"/>
  <c r="I62" i="39" s="1"/>
  <c r="H71" i="37"/>
  <c r="G71" i="37"/>
  <c r="F71" i="37"/>
  <c r="B70" i="37"/>
  <c r="J66" i="26"/>
  <c r="J43" i="26"/>
  <c r="J20" i="26"/>
  <c r="B56" i="37"/>
  <c r="B57" i="37" s="1"/>
  <c r="K23" i="38"/>
  <c r="J23" i="38"/>
  <c r="I21" i="38"/>
  <c r="I23" i="38" s="1"/>
  <c r="I31" i="39"/>
  <c r="F66" i="26"/>
  <c r="F43" i="26"/>
  <c r="F20" i="26"/>
  <c r="B42" i="37"/>
  <c r="B43" i="37" s="1"/>
  <c r="K21" i="39"/>
  <c r="J21" i="39"/>
  <c r="I20" i="39"/>
  <c r="I19" i="39"/>
  <c r="H34" i="37"/>
  <c r="G34" i="37"/>
  <c r="F34" i="37"/>
  <c r="E20" i="26" s="1"/>
  <c r="J12" i="39"/>
  <c r="D45" i="26" s="1"/>
  <c r="K12" i="39"/>
  <c r="D68" i="26" s="1"/>
  <c r="D43" i="26"/>
  <c r="H26" i="37"/>
  <c r="D66" i="26" s="1"/>
  <c r="D20" i="26"/>
  <c r="B24" i="37"/>
  <c r="F37" i="26"/>
  <c r="C37" i="26" s="1"/>
  <c r="F60" i="26"/>
  <c r="C60" i="26" s="1"/>
  <c r="M9" i="27"/>
  <c r="N9" i="27"/>
  <c r="E22" i="1"/>
  <c r="J8" i="8"/>
  <c r="K8" i="8"/>
  <c r="I8" i="8"/>
  <c r="C13" i="6"/>
  <c r="E20" i="1" s="1"/>
  <c r="E58" i="1"/>
  <c r="E57" i="1" s="1"/>
  <c r="E16" i="1"/>
  <c r="E15" i="1"/>
  <c r="E14" i="1"/>
  <c r="C19" i="26"/>
  <c r="C18" i="26"/>
  <c r="C16" i="26"/>
  <c r="D22" i="26"/>
  <c r="K35" i="31"/>
  <c r="F63" i="26" s="1"/>
  <c r="J35" i="31"/>
  <c r="F40" i="26" s="1"/>
  <c r="I35" i="31"/>
  <c r="F17" i="26" s="1"/>
  <c r="J7" i="22"/>
  <c r="K7" i="22"/>
  <c r="J8" i="25"/>
  <c r="K8" i="25"/>
  <c r="J9" i="25"/>
  <c r="J10" i="25" s="1"/>
  <c r="K9" i="25"/>
  <c r="K10" i="25"/>
  <c r="I9" i="25"/>
  <c r="I8" i="25"/>
  <c r="I7" i="22"/>
  <c r="M7" i="21"/>
  <c r="F43" i="1" s="1"/>
  <c r="N7" i="21"/>
  <c r="H43" i="1" s="1"/>
  <c r="L7" i="21"/>
  <c r="D43" i="1" s="1"/>
  <c r="E25" i="1"/>
  <c r="I10" i="25"/>
  <c r="D79" i="1"/>
  <c r="E7" i="29"/>
  <c r="E8" i="29"/>
  <c r="D7" i="29"/>
  <c r="D8" i="29"/>
  <c r="I44" i="26"/>
  <c r="I34" i="26" s="1"/>
  <c r="I48" i="26" s="1"/>
  <c r="D40" i="26"/>
  <c r="H10" i="2"/>
  <c r="G15" i="2"/>
  <c r="G10" i="2"/>
  <c r="F10" i="2"/>
  <c r="H58" i="1" l="1"/>
  <c r="H65" i="1"/>
  <c r="F58" i="1"/>
  <c r="F65" i="1"/>
  <c r="C42" i="26"/>
  <c r="Q48" i="26"/>
  <c r="Q71" i="26"/>
  <c r="C58" i="26"/>
  <c r="J10" i="1"/>
  <c r="E17" i="1"/>
  <c r="E10" i="1" s="1"/>
  <c r="D58" i="1"/>
  <c r="D65" i="1"/>
  <c r="D57" i="1" s="1"/>
  <c r="I17" i="1"/>
  <c r="I10" i="1" s="1"/>
  <c r="C20" i="26"/>
  <c r="M66" i="26"/>
  <c r="M57" i="26" s="1"/>
  <c r="M71" i="26" s="1"/>
  <c r="H97" i="37"/>
  <c r="O34" i="26"/>
  <c r="U48" i="26"/>
  <c r="M34" i="26"/>
  <c r="M48" i="26" s="1"/>
  <c r="C35" i="26"/>
  <c r="C65" i="26"/>
  <c r="C12" i="26"/>
  <c r="P11" i="26"/>
  <c r="C40" i="26"/>
  <c r="G17" i="1"/>
  <c r="G10" i="1" s="1"/>
  <c r="M11" i="26"/>
  <c r="M25" i="26" s="1"/>
  <c r="I14" i="38"/>
  <c r="H21" i="26" s="1"/>
  <c r="H11" i="26" s="1"/>
  <c r="H25" i="26" s="1"/>
  <c r="C67" i="26"/>
  <c r="O25" i="26"/>
  <c r="I21" i="39"/>
  <c r="I32" i="39"/>
  <c r="J22" i="26" s="1"/>
  <c r="J11" i="26" s="1"/>
  <c r="J25" i="26" s="1"/>
  <c r="O57" i="26"/>
  <c r="P57" i="26"/>
  <c r="P71" i="26" s="1"/>
  <c r="P34" i="26"/>
  <c r="G40" i="2" s="1"/>
  <c r="L57" i="26"/>
  <c r="L71" i="26" s="1"/>
  <c r="C63" i="26"/>
  <c r="G57" i="26"/>
  <c r="G71" i="26" s="1"/>
  <c r="H57" i="26"/>
  <c r="H71" i="26" s="1"/>
  <c r="E11" i="26"/>
  <c r="E25" i="26" s="1"/>
  <c r="Q11" i="26"/>
  <c r="Q25" i="26" s="1"/>
  <c r="F57" i="26"/>
  <c r="F71" i="26" s="1"/>
  <c r="R57" i="26"/>
  <c r="R71" i="26" s="1"/>
  <c r="R34" i="26"/>
  <c r="R48" i="26" s="1"/>
  <c r="I71" i="39"/>
  <c r="C45" i="26"/>
  <c r="J34" i="26"/>
  <c r="J48" i="26" s="1"/>
  <c r="I21" i="26"/>
  <c r="I11" i="26" s="1"/>
  <c r="I25" i="26" s="1"/>
  <c r="H18" i="1"/>
  <c r="H17" i="1" s="1"/>
  <c r="C43" i="26"/>
  <c r="F11" i="26"/>
  <c r="J57" i="26"/>
  <c r="J71" i="26" s="1"/>
  <c r="F34" i="26"/>
  <c r="F48" i="26" s="1"/>
  <c r="S57" i="26"/>
  <c r="S71" i="26" s="1"/>
  <c r="C68" i="26"/>
  <c r="R11" i="26"/>
  <c r="R25" i="26" s="1"/>
  <c r="S11" i="26"/>
  <c r="S25" i="26" s="1"/>
  <c r="D13" i="18"/>
  <c r="G46" i="1"/>
  <c r="G45" i="1" s="1"/>
  <c r="G39" i="1" s="1"/>
  <c r="H27" i="1"/>
  <c r="F27" i="1"/>
  <c r="D10" i="1"/>
  <c r="C11" i="6"/>
  <c r="F40" i="2" l="1"/>
  <c r="F35" i="2" s="1"/>
  <c r="H40" i="2"/>
  <c r="H35" i="2" s="1"/>
  <c r="H10" i="1"/>
  <c r="C10" i="6"/>
  <c r="C18" i="6" s="1"/>
  <c r="D9" i="29"/>
  <c r="B7" i="29"/>
  <c r="B8" i="29" s="1"/>
  <c r="C66" i="26"/>
  <c r="O48" i="26"/>
  <c r="P48" i="26"/>
  <c r="P25" i="26"/>
  <c r="I86" i="1"/>
  <c r="I81" i="1" s="1"/>
  <c r="I46" i="1"/>
  <c r="I45" i="1" s="1"/>
  <c r="I39" i="1" s="1"/>
  <c r="E13" i="18"/>
  <c r="F25" i="26"/>
  <c r="F27" i="2"/>
  <c r="F23" i="2" s="1"/>
  <c r="O71" i="26"/>
  <c r="H27" i="2"/>
  <c r="H23" i="2" s="1"/>
  <c r="G35" i="2"/>
  <c r="G86" i="1"/>
  <c r="G81" i="1" s="1"/>
  <c r="G38" i="1" s="1"/>
  <c r="H44" i="26"/>
  <c r="L22" i="26"/>
  <c r="L11" i="26" s="1"/>
  <c r="L25" i="26" s="1"/>
  <c r="K22" i="26"/>
  <c r="C21" i="26"/>
  <c r="D11" i="6"/>
  <c r="D10" i="6" s="1"/>
  <c r="D18" i="6" s="1"/>
  <c r="F18" i="1"/>
  <c r="F17" i="1" s="1"/>
  <c r="F10" i="1" s="1"/>
  <c r="E11" i="6"/>
  <c r="E10" i="6" s="1"/>
  <c r="E18" i="6" s="1"/>
  <c r="E86" i="1"/>
  <c r="E81" i="1" s="1"/>
  <c r="E38" i="1" s="1"/>
  <c r="E9" i="29" l="1"/>
  <c r="I38" i="1"/>
  <c r="E11" i="14"/>
  <c r="E16" i="14" s="1"/>
  <c r="D16" i="14"/>
  <c r="H34" i="26"/>
  <c r="G27" i="2" s="1"/>
  <c r="G23" i="2" s="1"/>
  <c r="C44" i="26"/>
  <c r="K11" i="26"/>
  <c r="C22" i="26"/>
  <c r="H48" i="26" l="1"/>
  <c r="K25" i="26"/>
  <c r="D19" i="19" l="1"/>
  <c r="D13" i="19"/>
  <c r="G13" i="19" s="1"/>
  <c r="G8" i="19"/>
  <c r="D16" i="19"/>
  <c r="G16" i="19" s="1"/>
  <c r="D20" i="19"/>
  <c r="E19" i="19"/>
  <c r="E16" i="19"/>
  <c r="H16" i="19" s="1"/>
  <c r="E20" i="19"/>
  <c r="H7" i="19"/>
  <c r="E13" i="19"/>
  <c r="H13" i="19" s="1"/>
  <c r="G7" i="19" l="1"/>
  <c r="H19" i="19"/>
  <c r="G19" i="19"/>
  <c r="H12" i="19"/>
  <c r="G12" i="19"/>
  <c r="D17" i="26" l="1"/>
  <c r="C17" i="26" s="1"/>
  <c r="C65" i="19" l="1"/>
  <c r="F64" i="19" l="1"/>
  <c r="C64" i="19"/>
  <c r="C58" i="19"/>
  <c r="F58" i="19" s="1"/>
  <c r="D53" i="19"/>
  <c r="D64" i="19" s="1"/>
  <c r="F53" i="19"/>
  <c r="C61" i="19"/>
  <c r="F61" i="19" s="1"/>
  <c r="G53" i="19" l="1"/>
  <c r="E53" i="19"/>
  <c r="H53" i="19" s="1"/>
  <c r="F52" i="19"/>
  <c r="G52" i="19"/>
  <c r="D61" i="19"/>
  <c r="G61" i="19" s="1"/>
  <c r="F57" i="19"/>
  <c r="D58" i="19"/>
  <c r="G58" i="19" s="1"/>
  <c r="G57" i="19" s="1"/>
  <c r="D65" i="19"/>
  <c r="E61" i="19"/>
  <c r="H61" i="19" s="1"/>
  <c r="E65" i="19" l="1"/>
  <c r="E58" i="19"/>
  <c r="H58" i="19" s="1"/>
  <c r="E64" i="19"/>
  <c r="H57" i="19"/>
  <c r="H64" i="19"/>
  <c r="G64" i="19"/>
  <c r="H52" i="19"/>
  <c r="H67" i="19" l="1"/>
  <c r="E12" i="18" s="1"/>
  <c r="G67" i="19"/>
  <c r="D12" i="18" s="1"/>
  <c r="C41" i="19"/>
  <c r="C35" i="19"/>
  <c r="F35" i="19" s="1"/>
  <c r="C38" i="19"/>
  <c r="F38" i="19" s="1"/>
  <c r="F30" i="19"/>
  <c r="C42" i="19"/>
  <c r="F42" i="19" s="1"/>
  <c r="E11" i="18" l="1"/>
  <c r="E16" i="18" s="1"/>
  <c r="F29" i="19"/>
  <c r="F44" i="19"/>
  <c r="D11" i="18"/>
  <c r="D16" i="18" s="1"/>
  <c r="F46" i="1"/>
  <c r="F45" i="1" s="1"/>
  <c r="F39" i="1" s="1"/>
  <c r="F41" i="19"/>
  <c r="F34" i="19"/>
  <c r="H46" i="1" l="1"/>
  <c r="H45" i="1" s="1"/>
  <c r="H39" i="1" s="1"/>
  <c r="E46" i="1"/>
  <c r="E45" i="1" s="1"/>
  <c r="E39" i="1" s="1"/>
  <c r="C13" i="18"/>
  <c r="D41" i="1" l="1"/>
  <c r="C11" i="14"/>
  <c r="C16" i="14" s="1"/>
  <c r="C19" i="19" l="1"/>
  <c r="C20" i="19"/>
  <c r="F20" i="19" s="1"/>
  <c r="C13" i="19"/>
  <c r="F13" i="19" s="1"/>
  <c r="C16" i="19"/>
  <c r="F16" i="19" s="1"/>
  <c r="F19" i="19" l="1"/>
  <c r="F7" i="19"/>
  <c r="F12" i="19"/>
  <c r="C12" i="18" l="1"/>
  <c r="D46" i="1" s="1"/>
  <c r="D45" i="1" s="1"/>
  <c r="D39" i="1" l="1"/>
  <c r="C11" i="18"/>
  <c r="C16" i="18" s="1"/>
  <c r="K15" i="29"/>
  <c r="K22" i="29" s="1"/>
  <c r="D61" i="26" s="1"/>
  <c r="J15" i="29"/>
  <c r="J22" i="29" s="1"/>
  <c r="D38" i="26" s="1"/>
  <c r="C38" i="26" l="1"/>
  <c r="D34" i="26"/>
  <c r="C61" i="26"/>
  <c r="D57" i="26"/>
  <c r="D71" i="26" l="1"/>
  <c r="H86" i="1"/>
  <c r="H81" i="1" s="1"/>
  <c r="C57" i="26"/>
  <c r="C71" i="26" s="1"/>
  <c r="H22" i="2"/>
  <c r="H18" i="2" s="1"/>
  <c r="D48" i="26"/>
  <c r="F86" i="1"/>
  <c r="F81" i="1" s="1"/>
  <c r="G22" i="2"/>
  <c r="G18" i="2" s="1"/>
  <c r="C34" i="26"/>
  <c r="C48" i="26" s="1"/>
  <c r="K17" i="2" l="1"/>
  <c r="G17" i="2"/>
  <c r="F38" i="1"/>
  <c r="G6" i="2"/>
  <c r="H17" i="2"/>
  <c r="L17" i="2"/>
  <c r="H6" i="2"/>
  <c r="H38" i="1"/>
  <c r="G44" i="2" l="1"/>
  <c r="G43" i="2" s="1"/>
  <c r="K6" i="2"/>
  <c r="L6" i="2"/>
  <c r="H44" i="2"/>
  <c r="H43" i="2" s="1"/>
  <c r="C18" i="29"/>
  <c r="C17" i="29"/>
  <c r="D87" i="1" l="1"/>
  <c r="I22" i="29"/>
  <c r="D15" i="26" s="1"/>
  <c r="D11" i="26" l="1"/>
  <c r="C15" i="26"/>
  <c r="D25" i="26" l="1"/>
  <c r="C11" i="26"/>
  <c r="C25" i="26" s="1"/>
  <c r="D86" i="1"/>
  <c r="D81" i="1" s="1"/>
  <c r="F22" i="2"/>
  <c r="F18" i="2" s="1"/>
  <c r="F17" i="2" l="1"/>
  <c r="J17" i="2"/>
  <c r="D38" i="1"/>
  <c r="F6" i="2"/>
  <c r="J6" i="2" l="1"/>
  <c r="F43" i="2"/>
  <c r="F44" i="2" s="1"/>
</calcChain>
</file>

<file path=xl/comments1.xml><?xml version="1.0" encoding="utf-8"?>
<comments xmlns="http://schemas.openxmlformats.org/spreadsheetml/2006/main">
  <authors>
    <author>Катя</author>
  </authors>
  <commentList>
    <comment ref="Q7" authorId="0">
      <text>
        <r>
          <rPr>
            <b/>
            <sz val="9"/>
            <color indexed="81"/>
            <rFont val="Tahoma"/>
            <family val="2"/>
            <charset val="204"/>
          </rPr>
          <t>КСЮ: исправила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<sst xmlns="http://schemas.openxmlformats.org/spreadsheetml/2006/main" count="3593" uniqueCount="722">
  <si>
    <t>Наименование показателя</t>
  </si>
  <si>
    <t>Код строки</t>
  </si>
  <si>
    <t>Код по бюджетной классификации Российской Федерации &lt;3&gt;</t>
  </si>
  <si>
    <t>Сумма, руб. (с точностью до двух знаков после запятой - 0,00)</t>
  </si>
  <si>
    <t>на 20__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</si>
  <si>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</si>
  <si>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</si>
  <si>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</si>
  <si>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</si>
  <si>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субсидии</t>
  </si>
  <si>
    <t>поступления от приносящей доход деятельности</t>
  </si>
  <si>
    <t>Остаток средств на начало текущего финансового года &lt;4&gt;</t>
  </si>
  <si>
    <t>х</t>
  </si>
  <si>
    <t>Остаток средств на конец текущего финансового года &lt;4&gt;</t>
  </si>
  <si>
    <t>Доходы, всего:</t>
  </si>
  <si>
    <t>в том числе:</t>
  </si>
  <si>
    <t>доходы от собственности, всего</t>
  </si>
  <si>
    <t>доходы, получаемые в виде арендной либо иной платы за передачу в возмездное пользование муниципального имущества</t>
  </si>
  <si>
    <t>доходы в виде процентов по депозитам автономных учреждений в кредитных организациях</t>
  </si>
  <si>
    <t>доходы в виде процентов по остаткам средств на счетах автономных учреждений в кредитных организациях</t>
  </si>
  <si>
    <t>доходы от оказания услуг, работ, компенсации затрат учреждений, всего</t>
  </si>
  <si>
    <t>субсидии на финансовое обеспечение выполнения муниципального задания</t>
  </si>
  <si>
    <t>доходы от оказания услуг, выполнения работ, за плату сверх установленного муниципального задания и иной приносящей доход деятельности, предусмотренной уставом учреждения</t>
  </si>
  <si>
    <t>доходы, поступающие в порядке возмещения расходов, понесенных в связи с эксплуатацией имущества, находящегося в оперативном управлении учреждения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</si>
  <si>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</si>
  <si>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</si>
  <si>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прочие доходы, всего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</si>
  <si>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</si>
  <si>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</si>
  <si>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</si>
  <si>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>прочие поступления, всего &lt;5&gt;</t>
  </si>
  <si>
    <t>из них:</t>
  </si>
  <si>
    <t>увеличение остатков денежных средств за счет возврата дебиторской задолженности прошлых лет</t>
  </si>
  <si>
    <t>Расходы, всего</t>
  </si>
  <si>
    <t>на выплаты персоналу, всего</t>
  </si>
  <si>
    <t>оплата труда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</si>
  <si>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</si>
  <si>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</si>
  <si>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</si>
  <si>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</si>
  <si>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</si>
  <si>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</si>
  <si>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</si>
  <si>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</si>
  <si>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на оплату труда стажеров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</si>
  <si>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</si>
  <si>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</si>
  <si>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</si>
  <si>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</si>
  <si>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</si>
  <si>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социальное обеспечение детей-сирот и детей, оставшихся без попечения родителей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</si>
  <si>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</si>
  <si>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</si>
  <si>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</si>
  <si>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</si>
  <si>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</si>
  <si>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</si>
  <si>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</si>
  <si>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</si>
  <si>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</si>
  <si>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</si>
  <si>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расходы на закупку товаров, работ, услуг, всего &lt;6&gt;</t>
  </si>
  <si>
    <t>закупку научно-исследовательских и опытно-конструкторских работ</t>
  </si>
  <si>
    <t>закупку товаров, работ, услуг в целях капитального ремонта муниципального имущества</t>
  </si>
  <si>
    <t>прочую закупку товаров, работ и услуг, всего</t>
  </si>
  <si>
    <t>капитальные вложения в объекты муниципальной собственности, всего</t>
  </si>
  <si>
    <t>приобретение объектов недвижимого имущества муниципальными учреждениями</t>
  </si>
  <si>
    <t>строительство (реконструкция) объектов недвижимого имущества муниципальными учреждениями</t>
  </si>
  <si>
    <t>Выплаты, уменьшающие доход, всего &lt;7&gt;</t>
  </si>
  <si>
    <t>налог на прибыль &lt;7&gt;</t>
  </si>
  <si>
    <t>налог на добавленную стоимость &lt;7&gt;</t>
  </si>
  <si>
    <t>прочие налоги, уменьшающие доход &lt;7&gt;</t>
  </si>
  <si>
    <t>Прочие выплаты, всего &lt;8&gt;</t>
  </si>
  <si>
    <t>возврат в бюджет средств субсидии</t>
  </si>
  <si>
    <t>Раздел 1. Поступления и выплаты</t>
  </si>
  <si>
    <t>N п/п</t>
  </si>
  <si>
    <t>Коды строк</t>
  </si>
  <si>
    <t>Год начала закупки</t>
  </si>
  <si>
    <t>Сумма</t>
  </si>
  <si>
    <t>(текущий финансовый год)</t>
  </si>
  <si>
    <t>(первый год планового периода)</t>
  </si>
  <si>
    <t>(второй год планового периода)</t>
  </si>
  <si>
    <t>Выплаты на закупку товаров, работ, услуг, всего &lt;10&gt;</t>
  </si>
  <si>
    <t>по контрактам (договорам), заключенным до начала текущего финансового года без применения норм Федерального закона от 05.04.2013 N 44-ФЗ "О контрактной системе в сфере закупок товаров, работ, услуг для обеспечения государственных и муниципальных нужд" (далее - Федеральный закон N 44-ФЗ) и Федерального закона от 18.07.2011 N 223-ФЗ "О закупках товаров, работ, услуг отдельными видами юридических лиц" (далее - Федеральный закон N 223-ФЗ) &lt;11&gt;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</si>
  <si>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 &lt;11&gt;</t>
  </si>
  <si>
    <t>в соответствии с Федеральным законом N 44-ФЗ</t>
  </si>
  <si>
    <t>в соответствии с Федеральным законом N 223-ФЗ &lt;12&gt;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</si>
  <si>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 &lt;12&gt;</t>
  </si>
  <si>
    <t>за счет субсидий, предоставляемых на финансовое обеспечение выполнения государственного (муниципального) задания</t>
  </si>
  <si>
    <t>1.4.1.1</t>
  </si>
  <si>
    <t>1.4.1.2</t>
  </si>
  <si>
    <t>в соответствии с Федеральным законом N 223-ФЗ &lt;13&gt;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</si>
  <si>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</si>
  <si>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</si>
  <si>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</t>
  </si>
  <si>
    <t>за счет субсидий, предоставляемых на осуществление капитальных вложений &lt;14&gt;</t>
  </si>
  <si>
    <t>За счет средств обязательного медицинского страхования</t>
  </si>
  <si>
    <t>1.4.4.1</t>
  </si>
  <si>
    <t>1.4.4.2</t>
  </si>
  <si>
    <t>в соответствии с Федеральным законом N 223-ФЗ</t>
  </si>
  <si>
    <t>за счет прочих источников финансового обеспечения</t>
  </si>
  <si>
    <t>1.4.5.1</t>
  </si>
  <si>
    <t>1.4.5.2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</si>
  <si>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&lt;15&gt;</t>
  </si>
  <si>
    <t>в том числе по году начала закупки: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</si>
  <si>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</si>
  <si>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Раздел 2. Сведения по выплатам на закупки товаров, работ, услуг</t>
  </si>
  <si>
    <t>1.2</t>
  </si>
  <si>
    <t>1.3</t>
  </si>
  <si>
    <t>1.3.1.</t>
  </si>
  <si>
    <t>1.3.2</t>
  </si>
  <si>
    <t>1.4</t>
  </si>
  <si>
    <t>1.4.1</t>
  </si>
  <si>
    <t>1.4.2</t>
  </si>
  <si>
    <t>1.4.3</t>
  </si>
  <si>
    <t>1.4.4</t>
  </si>
  <si>
    <t>1.4.5</t>
  </si>
  <si>
    <t>Сумма, руб.</t>
  </si>
  <si>
    <t>Задолженность по доходам (дебиторская задолженность по доходам) на начало года</t>
  </si>
  <si>
    <t>Полученные предварительные платежи (авансы) по контрактам (договорам) (кредиторская задолженность по доходам) на начало года</t>
  </si>
  <si>
    <t>Доходы от собственности, всего</t>
  </si>
  <si>
    <t>плата по соглашениям об установлении сервитута</t>
  </si>
  <si>
    <t>проценты, полученные от предоставления займов</t>
  </si>
  <si>
    <t>проценты по иным финансовым инструментам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</si>
  <si>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</si>
  <si>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доходы от распоряжения правами на результаты интеллектуальной деятельности и средствами индивидуализации</t>
  </si>
  <si>
    <t>прочие поступления от использования имущества, находящегося в оперативном управлении учреждения</t>
  </si>
  <si>
    <t>Задолженность по доходам (дебиторская задолженность по доходам) на конец года</t>
  </si>
  <si>
    <t>Полученные предварительные платежи (авансы) по контрактам (договорам) (кредиторская задолженность по доходам) на конец года</t>
  </si>
  <si>
    <t>Планируемые поступления доходов от собственности (с. 0100 - с. 0200 + с. 0300 - с. 0400 + с. 0500)</t>
  </si>
  <si>
    <t>Наименование объекта</t>
  </si>
  <si>
    <t>Плата (тариф) арендной платы за единицу площади (объект), руб.</t>
  </si>
  <si>
    <t>Планируемый объем предоставления имущества в аренду (в натуральных показателях)</t>
  </si>
  <si>
    <t>Объем планируемых поступлений, руб.</t>
  </si>
  <si>
    <t>Недвижимое имущество, всего</t>
  </si>
  <si>
    <t>в том числе</t>
  </si>
  <si>
    <t>Движимое имущество, всего</t>
  </si>
  <si>
    <t>Итого</t>
  </si>
  <si>
    <t>3.1.2. Расчет доходов в виде арендной либо иной платы за передачу в возмездное пользование муниципального имущества.</t>
  </si>
  <si>
    <t>3.1.1. Обоснование (расчет) плановых показателей поступлений доходов по статье 120 "Доходы от собственности".</t>
  </si>
  <si>
    <t>Среднегодовой объем средств, на которые начисляются проценты, руб.</t>
  </si>
  <si>
    <t>Ставка размещения, %</t>
  </si>
  <si>
    <t>Сумма доходов в виде процентов, руб.</t>
  </si>
  <si>
    <t>Договор 1</t>
  </si>
  <si>
    <t>Договор 2</t>
  </si>
  <si>
    <t>3.1.3. Расчет доходов в виде процентов по депозитам автономных учреждений в кредитных организациях.</t>
  </si>
  <si>
    <t>3.1. Обоснование (расчет) плановых показателей поступлений доходов по статье 120 "Доходы от собственности".</t>
  </si>
  <si>
    <t>Раздел 3. Обоснования (расчеты) плановых показателей поступлений и выплат</t>
  </si>
  <si>
    <t>Доходы от оказания услуг, работ, компенсации затрат учреждений, всего</t>
  </si>
  <si>
    <t>Планируемые поступления доходов от оказания услуг, компенсации затрат учреждения (с. 0100 - с. 0200 + с. 0300 - с. 0400 + с. 0500)</t>
  </si>
  <si>
    <t>3.2.1. Обоснование (расчет) плановых показателей поступлений доходов по статье 130 "Доходы от оказания услуг, работ, компенсации затрат учреждений".</t>
  </si>
  <si>
    <t>3.2. Обоснование (расчет) плановых показателей поступлений доходов по статье 130 "Доходы от оказания услуг, работ, компенсации затрат учреждений".</t>
  </si>
  <si>
    <t>Плата (тариф) за единицу услуги (работы), руб.</t>
  </si>
  <si>
    <t>Планируемый объем оказания услуг (выполнения работ)</t>
  </si>
  <si>
    <t>Общий объем планируемых поступлений, руб.</t>
  </si>
  <si>
    <t>3.2.2. Расчет доходов в виде субсидии на финансовое обеспечение выполнения муниципального задания.</t>
  </si>
  <si>
    <t>3.2.3. Расчет доходов от оказания услуг, выполнения работ в рамках установленного муниципального задания.</t>
  </si>
  <si>
    <t>3.2.4. Расчет доходов от оказания услуг, выполнения работ за плату сверх установленного муниципального задания и иной приносящей доход деятельности, предусмотренной уставом учреждения.</t>
  </si>
  <si>
    <t>Объем услуг, планируемый к возмещению</t>
  </si>
  <si>
    <t>3.2.5. Расчет доходов, поступающих в порядке возмещения расходов, понесенных в связи с эксплуатацией имущества, находящегося в оперативном управлении учреждения.</t>
  </si>
  <si>
    <t>Излишне полученные либо взысканные платежи (кредиторская задолженность по доходам) на начало года</t>
  </si>
  <si>
    <t>Доходы от штрафов, пеней, иных сумм принудительного изъятия, всего</t>
  </si>
  <si>
    <t>штрафы</t>
  </si>
  <si>
    <t>пени</t>
  </si>
  <si>
    <t>суммы принудительного изъятия</t>
  </si>
  <si>
    <t>Излишне полученные либо взысканные платежи (кредиторская задолженность по доходам) на конец года</t>
  </si>
  <si>
    <t>Планируемые поступления доходов от штрафов, пеней, иных сумм принудительного изъятия (с. 0100 - с. 0200 + с. 0300 - с. 0400 + с. 0500)</t>
  </si>
  <si>
    <t>3.3. Обоснование (расчет) плановых показателей поступлений доходов по статье 140 "Доходы от штрафов, пеней, иных сумм принудительного изъятия".</t>
  </si>
  <si>
    <t>3.3.1. Обоснование (расчет) плановых показателей поступлений доходов по статье 140 "Доходы от штрафов, пеней, иных сумм принудительного изъятия".</t>
  </si>
  <si>
    <t>Доходы от операций с активами, всего</t>
  </si>
  <si>
    <t>реализация неиспользуемого имущества</t>
  </si>
  <si>
    <t>реализация утиля, лома черных и цветных металлов</t>
  </si>
  <si>
    <t>3.5. Обоснование (расчет) плановых показателей поступлений доходов по статье "Доходы от операций с активами".</t>
  </si>
  <si>
    <t>3.5.1. Обоснование (расчет) плановых показателей поступлений доходов по статье "Доходы от операций с активами".</t>
  </si>
  <si>
    <t>Задолженность перед персоналом по оплате труда (кредиторская задолженность) на начало года</t>
  </si>
  <si>
    <t>Задолженность персонала по полученным авансам (дебиторская задолженность) на начало года</t>
  </si>
  <si>
    <t>Фонд оплаты труда</t>
  </si>
  <si>
    <t>Задолженность перед персоналом по оплате труда (кредиторская задолженность) на конец года</t>
  </si>
  <si>
    <t>Задолженность персонала по полученным авансам (дебиторская задолженность) на конец года</t>
  </si>
  <si>
    <t>Планируемые выплаты на оплату труда (с. 0100 - с. 0200 + с. 0300 - с. 0400 + с. 0500)</t>
  </si>
  <si>
    <t>3.6. Обоснование (расчет) плановых показателей по выплатам по оплате труда работников учреждения.</t>
  </si>
  <si>
    <t>3.6.1. Обоснование (расчет) плановых показателей по выплатам по элементу вида расходов классификации расходов бюджетов 111 "Фонд оплаты труда учреждений" (заполняется раздельно по источникам финансового обеспечения).</t>
  </si>
  <si>
    <t>Должность, группа должностей</t>
  </si>
  <si>
    <t>Установленная численность, единиц</t>
  </si>
  <si>
    <t>Среднемесячный размер оплаты труда на одного работника, руб.</t>
  </si>
  <si>
    <t>Фонд оплаты труда в год (гр. 3 x гр. 4 x 12)</t>
  </si>
  <si>
    <t>всего (гр. 5 + гр. 6 + гр. 7 + гр. 9 + гр. 11)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</si>
  <si>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</si>
  <si>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</si>
  <si>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</si>
  <si>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северная надбавка</t>
  </si>
  <si>
    <t>районный коэффициент</t>
  </si>
  <si>
    <t>%</t>
  </si>
  <si>
    <t>сумма (гр. 5 + гр. 6 + гр. 7) x гр. 8 / 100</t>
  </si>
  <si>
    <t>сумма (гр. 5 + гр. 6 + гр. 7) x гр. 10 / 100</t>
  </si>
  <si>
    <t>3.6.4. Расчет фонда оплаты труда на 20__ г. (первый год финансового плана) (заполняется раздельно по источникам финансового обеспечения).</t>
  </si>
  <si>
    <t>3.6.5. Расчет фонда оплаты труда на 20__ г. (второй год планового периода) (заполняется раздельно по источникам финансового обеспечения).</t>
  </si>
  <si>
    <t>Задолженность по обязательствам (кредиторская задолженность) на начало года</t>
  </si>
  <si>
    <t>Сумма излишне уплаченных либо излишне взысканных страховых взносов (дебиторская задолженность) на начало года</t>
  </si>
  <si>
    <t>Страховые взносы на обязательное социальное страхование</t>
  </si>
  <si>
    <t>Задолженность по уплате страховых взносов (кредиторская задолженность) на конец года</t>
  </si>
  <si>
    <t>Сумма излишне уплаченных либо излишне взысканных страховых взносов (дебиторская задолженность) на конец года</t>
  </si>
  <si>
    <t>Планируемые выплаты на страховые взносы на обязательное социальное страхование (с. 0100 - с. 0200 + с. 0300 - с. 0400 + с. 0500)</t>
  </si>
  <si>
    <t>3.7. Обоснование (расчет) плановых показателей по выплатам на страховые взносы по обязательному социальному страхованию.</t>
  </si>
  <si>
    <t>3.7.1. Обоснование (расчет) плановых показателей по выплатам на страховые взносы по обязательному социальному страхованию (заполняется раздельно по источникам финансового обеспечения).</t>
  </si>
  <si>
    <t>Наименование государственного внебюджетного фонда</t>
  </si>
  <si>
    <t>Размер базы для начисления страховых взносов, руб.</t>
  </si>
  <si>
    <t>Сумма взноса, руб.</t>
  </si>
  <si>
    <t>Страховые взносы в Пенсионный фонд Российской Федерации, всего</t>
  </si>
  <si>
    <t>по ставке 22,0%</t>
  </si>
  <si>
    <t>по ставке 10,0%</t>
  </si>
  <si>
    <t>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</si>
  <si>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</si>
  <si>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>обязательное социальное страхование на случай временной нетрудоспособности и в связи с материнством по ставке 2,9%</t>
  </si>
  <si>
    <t>с применением ставки взносов в Фонд социального страхования Российской Федерации по ставке 0,0%</t>
  </si>
  <si>
    <t>обязательное социальное страхование от несчастных случаев на производстве и профессиональных заболеваний по ставке 0,2%</t>
  </si>
  <si>
    <t>обязательное социальное страхование от несчастных случаев на производстве и профессиональных заболеваний по ставке ____% &lt;*&gt;</t>
  </si>
  <si>
    <t>Страховые взносы в Федеральный фонд обязательного медицинского страхования, всего</t>
  </si>
  <si>
    <t>страховые взносы на обязательное медицинское страхование по ставке 5,1%</t>
  </si>
  <si>
    <t>Наименование расходов</t>
  </si>
  <si>
    <t>Средний размер выплаты на одного работника в день, руб.</t>
  </si>
  <si>
    <t>Количество работников, чел.</t>
  </si>
  <si>
    <t>Количество дней, дн.</t>
  </si>
  <si>
    <t>3.8. Обоснование (расчет) плановых показателей по выплатам компенсационного характера персоналу, за исключением фонда оплаты труда.</t>
  </si>
  <si>
    <t>3.8.1. Обоснование (расчет) выплат персоналу при направлении в служебные командировки (заполняется раздельно по источникам финансового обеспечения).</t>
  </si>
  <si>
    <t>Численность работников, получающих пособие, чел.</t>
  </si>
  <si>
    <t>Количество выплат в год на одного работника, шт.</t>
  </si>
  <si>
    <t>Размер выплаты (пособия) в месяц, руб.</t>
  </si>
  <si>
    <t>3.8.2 Обоснование (расчет) выплат персоналу по уходу за ребенком.</t>
  </si>
  <si>
    <t>Размер одной выплаты, руб.</t>
  </si>
  <si>
    <t>Количество выплат в год</t>
  </si>
  <si>
    <t>Общая сумма выплат, руб.</t>
  </si>
  <si>
    <t>3.9. Обоснование (расчет) плановых показателей по выплатам на социальное обеспечение и иные выплаты населению.</t>
  </si>
  <si>
    <t>Налоговая база, руб.</t>
  </si>
  <si>
    <t>Ставка налога, %</t>
  </si>
  <si>
    <t>Сумма начисленного налога, подлежащего уплате, руб.</t>
  </si>
  <si>
    <t>3.11. Обоснование (расчет) плановых показателей по расходам на безвозмездное перечисление организациям и физическим лицам (заполняется раздельно по источникам финансового обеспечения).</t>
  </si>
  <si>
    <t>3.12. Обоснование (расчет) плановых показателей по прочим расходам (кроме расходов на закупку товаров, работ и услуг) (заполняется раздельно по источникам финансового обеспечения).</t>
  </si>
  <si>
    <t>Задолженность по принятым и неисполненным обязательствам, полученные предварительные платежи (авансы) по контрактам (договорам) (кредиторская задолженность) на начало года</t>
  </si>
  <si>
    <t>Произведенные предварительные платежи (авансы) по контрактам (договорам) (дебиторская задолженность) на начало года</t>
  </si>
  <si>
    <t>Расходы на закупку товаров, работ и услуг, всего</t>
  </si>
  <si>
    <t>услуги связи</t>
  </si>
  <si>
    <t>транспортные услуги</t>
  </si>
  <si>
    <t>коммунальные услуги</t>
  </si>
  <si>
    <t>аренда имущества</t>
  </si>
  <si>
    <t>содержание имущества</t>
  </si>
  <si>
    <t>обязательное страхование</t>
  </si>
  <si>
    <t>повышение квалификации (профессиональная переподготовка)</t>
  </si>
  <si>
    <t>приобретение объектов движимого имущества</t>
  </si>
  <si>
    <t>приобретение материальных запасов</t>
  </si>
  <si>
    <t>Задолженность по принятым и неисполненным обязательствам, полученные предварительные платежи (авансы) по контрактам (договорам) (кредиторская задолженность) на конец года</t>
  </si>
  <si>
    <t>Произведенные предварительные платежи (авансы) по контрактам (договорам) (дебиторская задолженность) на конец года</t>
  </si>
  <si>
    <t>Планируемые выплаты на закупку товаров, работ и услуг (с. 0100 - с. 0200 + с. 0300 - с. 0400 + с. 0500)</t>
  </si>
  <si>
    <t>3.13. Обоснование (расчет) плановых показателей по расходам на закупки товаров, работ и услуг.</t>
  </si>
  <si>
    <t>3.13.1. Обоснование (расчет) плановых показателей по расходам на закупки товаров, работ и услуг.</t>
  </si>
  <si>
    <t>Количество номеров, ед.</t>
  </si>
  <si>
    <t>Количество платежей в год</t>
  </si>
  <si>
    <t>Стоимость за единицу, руб.</t>
  </si>
  <si>
    <t>3.13.2. Обоснование (расчет) плановых показателей по расходам на услуги связи.</t>
  </si>
  <si>
    <t>Количество услуг перевозки</t>
  </si>
  <si>
    <t>Цена услуги перевозки, руб.</t>
  </si>
  <si>
    <t>3.13.3. Обоснование (расчет) плановых показателей по расходам на транспортные услуги.</t>
  </si>
  <si>
    <t>Расчетное потребление ресурсов</t>
  </si>
  <si>
    <t>Тариф (с учетом НДС), руб.</t>
  </si>
  <si>
    <t>3.13.4. Обоснование (расчет) плановых показателей по расходам на коммунальные услуги.</t>
  </si>
  <si>
    <t>Арендуемая площадь (количество объектов), кв. м (ед.)</t>
  </si>
  <si>
    <t>Продолжительность аренды (месяц, день, час)</t>
  </si>
  <si>
    <t>Цена аренды в месяц (день, час), руб.</t>
  </si>
  <si>
    <t>3.13.5. Обоснование (расчет) плановых показателей по расходам на аренду имущества.</t>
  </si>
  <si>
    <t>Объект</t>
  </si>
  <si>
    <t>Количество работ (услуг)</t>
  </si>
  <si>
    <t>3.13.6. Обоснование (расчет) плановых показателей по расходам на содержание имущества.</t>
  </si>
  <si>
    <t>Количество застрахованных сотрудников, застрахованного имущества, чел. (ед.)</t>
  </si>
  <si>
    <t>Базовые ставки страховых тарифов с учетом поправочных коэффициентов к ним, руб.</t>
  </si>
  <si>
    <t>3.13.7. Обоснование (расчет) плановых показателей по расходам на обязательное страхование.</t>
  </si>
  <si>
    <t>Количество работников, направляемых на повышение квалификации (переподготовку), чел.</t>
  </si>
  <si>
    <t>Цена обучения одного работника, руб.</t>
  </si>
  <si>
    <t>3.13.8. Обоснование (расчет) плановых показателей по расходам на повышение квалификации (профессиональную переподготовку).</t>
  </si>
  <si>
    <t xml:space="preserve">доходы от оказания услуг, выполнения работ, в рамках установленного муниципального задания </t>
  </si>
  <si>
    <t>в том числе: добровольные пожертвования</t>
  </si>
  <si>
    <t>доходы от оказания услуг, выполнения работ за плату сверх установленного муниципального задания и иной приносящей доход деятельности, предусмотренной уставом учреждения:</t>
  </si>
  <si>
    <t>доходы от оказания услуг, выполнения работ в рамках установленного муниципального задания:                                    родительская плата</t>
  </si>
  <si>
    <t>Это надо заполнять из муниципального задания, по видам работ, услуг</t>
  </si>
  <si>
    <t>Родительская плата</t>
  </si>
  <si>
    <t>местный бюджет</t>
  </si>
  <si>
    <t>краевой бюджет</t>
  </si>
  <si>
    <t>Учитель-логопед</t>
  </si>
  <si>
    <t>Учитель-дефектолог</t>
  </si>
  <si>
    <t>Учитель</t>
  </si>
  <si>
    <t>учитель</t>
  </si>
  <si>
    <t>Педагог-организатор</t>
  </si>
  <si>
    <t>Педагог-библиотекарь</t>
  </si>
  <si>
    <t>Стимулирующие пед.персоналу</t>
  </si>
  <si>
    <t>педагог доп.образования</t>
  </si>
  <si>
    <t>Заместитель директора по УВР</t>
  </si>
  <si>
    <t>Заместитель директора по ВР</t>
  </si>
  <si>
    <t>Диспетчер</t>
  </si>
  <si>
    <t>Главный бухгалтер</t>
  </si>
  <si>
    <t>Делопроизводитель</t>
  </si>
  <si>
    <t>Стимулирующие прочему персоналу</t>
  </si>
  <si>
    <t>Доплата до МРОТ</t>
  </si>
  <si>
    <t>Краевой бюджет ДОУ пед.персонал</t>
  </si>
  <si>
    <t>Горячая вода 1 полугодие, Гкал</t>
  </si>
  <si>
    <t>Горячая вода 2 полугодие, Гкал</t>
  </si>
  <si>
    <t>Дератизация и дезинсекция</t>
  </si>
  <si>
    <t>Измерение сопротивления изоляции</t>
  </si>
  <si>
    <t>Обслуживание теплосчетчиков</t>
  </si>
  <si>
    <t>Ремонт оргтехники</t>
  </si>
  <si>
    <t>краевой бюджет ДОУ АУП</t>
  </si>
  <si>
    <t>Краевой бюджет иная цель</t>
  </si>
  <si>
    <t>Местный бюджет иная цель (софинансир)</t>
  </si>
  <si>
    <t>ВСЕГО</t>
  </si>
  <si>
    <t>Количество договоров</t>
  </si>
  <si>
    <t>Стоимость, руб.</t>
  </si>
  <si>
    <t>3.13.10. Обоснование (расчет) плановых показателей по расходам на приобретение объектов движимого имущества</t>
  </si>
  <si>
    <t>Количество</t>
  </si>
  <si>
    <t>Средняя стоимость</t>
  </si>
  <si>
    <t>3.13.11. Обоснование (расчет) плановых показателей по расходам на приобретение материальных запасов</t>
  </si>
  <si>
    <t>за счет субсидии</t>
  </si>
  <si>
    <t>за счет приносящей доход деятельности</t>
  </si>
  <si>
    <t>Доплата в месяц</t>
  </si>
  <si>
    <t>Фонд оплаты труда в год (9 месяцев с января по май, с сентября по декабрь)</t>
  </si>
  <si>
    <t>ИТОГО</t>
  </si>
  <si>
    <t>Медицинский осмотр</t>
  </si>
  <si>
    <t>Услуги по проектированию нормативов</t>
  </si>
  <si>
    <t>Экспертное заключение</t>
  </si>
  <si>
    <t>Обслуживание видеонаблюдения</t>
  </si>
  <si>
    <t>Обслуживание охранной сигназизации</t>
  </si>
  <si>
    <t>Строй материалы</t>
  </si>
  <si>
    <t>Хазяйственные товары</t>
  </si>
  <si>
    <t>Местный бюджет дошкольные группы</t>
  </si>
  <si>
    <t>Продукты питания</t>
  </si>
  <si>
    <t>Гигиеническая аттестация</t>
  </si>
  <si>
    <t>Подписка</t>
  </si>
  <si>
    <t>Канцелярские товары</t>
  </si>
  <si>
    <t>Картриджи</t>
  </si>
  <si>
    <t>Бланки, грамоты</t>
  </si>
  <si>
    <t>Учебники</t>
  </si>
  <si>
    <t>Субвенция (иная цель 7564)</t>
  </si>
  <si>
    <t>Обучение</t>
  </si>
  <si>
    <t>Игрушки</t>
  </si>
  <si>
    <t>Краевой бюджет ДОУ АУП</t>
  </si>
  <si>
    <t>Канцелярия</t>
  </si>
  <si>
    <t>Питание учащихся основной школы</t>
  </si>
  <si>
    <t>Питание учащихся с ОВЗ</t>
  </si>
  <si>
    <t>Платные услуги (853)</t>
  </si>
  <si>
    <t>Оборудование</t>
  </si>
  <si>
    <t>Хозтовары</t>
  </si>
  <si>
    <t>Остатки</t>
  </si>
  <si>
    <t>остатки прошлых лет (855)</t>
  </si>
  <si>
    <t>Остатки прошлых лет (855)</t>
  </si>
  <si>
    <t>Счетчики электро, водо</t>
  </si>
  <si>
    <t>Устройство автоматического отключения при пожаре</t>
  </si>
  <si>
    <t>Приобретение и установка противопожарных дверей</t>
  </si>
  <si>
    <t>Электронный стенд</t>
  </si>
  <si>
    <t xml:space="preserve">                                                                                </t>
  </si>
  <si>
    <t>Главный бухгалтер учреждения                            ________________________     _______________________</t>
  </si>
  <si>
    <t xml:space="preserve">                                                </t>
  </si>
  <si>
    <t>Исполнитель                          ________________________     _______________________</t>
  </si>
  <si>
    <t>Телефон</t>
  </si>
  <si>
    <t xml:space="preserve">    СОГЛАСОВАНО</t>
  </si>
  <si>
    <t>_______________________________________________________________________</t>
  </si>
  <si>
    <t xml:space="preserve">      (подпись)                                           (расшифровка подписи)</t>
  </si>
  <si>
    <t>на 2020 г.</t>
  </si>
  <si>
    <t>на 2021 г.</t>
  </si>
  <si>
    <t>на 2022 г.</t>
  </si>
  <si>
    <t>федеральный бюджет</t>
  </si>
  <si>
    <t>Подготовка к школе "Дошколята"</t>
  </si>
  <si>
    <t>Группа временного пребывания 1 класс "Непоседы"</t>
  </si>
  <si>
    <t>на 2021г.</t>
  </si>
  <si>
    <t>на 2022г.</t>
  </si>
  <si>
    <t>Перезарядка и проверка огнетушителей</t>
  </si>
  <si>
    <t>Автоматизированная уборка снега</t>
  </si>
  <si>
    <t>Проверка огнезащитной обработки штор актового зала, деревянных конструкций буфета, дерев.конструкций сцены</t>
  </si>
  <si>
    <t>Уборка сосулек с крыши</t>
  </si>
  <si>
    <t>Обрезка деревьев вокруг школы</t>
  </si>
  <si>
    <t>Ремонт столов, стульев</t>
  </si>
  <si>
    <t>Ремонт оргтехники, заправка картриджей</t>
  </si>
  <si>
    <t>Реагирование на срабатывание кнопки тревожной сигнализации</t>
  </si>
  <si>
    <t>Размещение информационных материалов в газете "Рабочий" (отчет о деятельности учреждения)</t>
  </si>
  <si>
    <t>Демеркуризация ртут.  ламп</t>
  </si>
  <si>
    <t>Инструментальное измерение физ.факторов школы</t>
  </si>
  <si>
    <t>Реагирование на срабатывание охранно-пожарной сигнализации</t>
  </si>
  <si>
    <t>Обслуживание 1 с</t>
  </si>
  <si>
    <t>Питание учащихся 10-х классов во время учебных сборов</t>
  </si>
  <si>
    <t>Мебель</t>
  </si>
  <si>
    <t>Спортивное оборудование и инвентарь</t>
  </si>
  <si>
    <t>учебное оборудование в кабинеты</t>
  </si>
  <si>
    <t>Компьютеры</t>
  </si>
  <si>
    <t>Местный  бюджет иная цель софинансирование (R7398)</t>
  </si>
  <si>
    <t>Наклейки "Смайл"</t>
  </si>
  <si>
    <t>МедикаментыМедицинские изделия и расходные материалы мед.назначения</t>
  </si>
  <si>
    <t>Зап.части и расх.материалы к выч.и орг.технике</t>
  </si>
  <si>
    <t>Картриджи, тонеры для принтеров</t>
  </si>
  <si>
    <t>Ценные подарки (медали, сувениры, цветы)</t>
  </si>
  <si>
    <t>Почетные грамоты, благод.письма</t>
  </si>
  <si>
    <t>Инструмент в кабинет технологии</t>
  </si>
  <si>
    <t>Бланки документов об образовании</t>
  </si>
  <si>
    <t>Медикаменты, перевяз.средства</t>
  </si>
  <si>
    <t>Классные журналы, метод.пособия</t>
  </si>
  <si>
    <t>3.7.3. Расчет страховых взносов по обязательному социальному страхованию (поступления от приносящей доход деятельности)</t>
  </si>
  <si>
    <t>бухгалтер</t>
  </si>
  <si>
    <t>секретарь учебной части</t>
  </si>
  <si>
    <t>заведующий хозяйством</t>
  </si>
  <si>
    <t>лаборант</t>
  </si>
  <si>
    <t>Директор</t>
  </si>
  <si>
    <t xml:space="preserve"> </t>
  </si>
  <si>
    <t>Ирина Николаевна Копищенко</t>
  </si>
  <si>
    <t>Цифровое оборудование (краевой бюджет)</t>
  </si>
  <si>
    <t>Цифровое оборудование (федеральный бюджет)</t>
  </si>
  <si>
    <t>Цифровое оборудование (местный бюджет)</t>
  </si>
  <si>
    <t>Наименование занятий</t>
  </si>
  <si>
    <t>Оплата труда во время лагеря с дневным пребывание детей</t>
  </si>
  <si>
    <t>стоимость набора продуктов</t>
  </si>
  <si>
    <t>%от стоимости на фонд зарплаты</t>
  </si>
  <si>
    <t>фонд зарплаты</t>
  </si>
  <si>
    <t>сумма начислений на оплату труда</t>
  </si>
  <si>
    <t>сумма зарплаты</t>
  </si>
  <si>
    <t>код строки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</si>
  <si>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</si>
  <si>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начального общего образования (адаптированная образовательная программа)</t>
  </si>
  <si>
    <t>Реализация основных общеобразовательных программ начального общего образования (адаптированная образовательная программа - обучение на дому)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</si>
  <si>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</si>
  <si>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основного общего образования (адаптированная образовательная программа)</t>
  </si>
  <si>
    <t>Реализация основных общеобразовательных программ основного общего образования (адаптированная образовательная программа - обучение на дому)</t>
  </si>
  <si>
    <t>Реализация основных общеобразовательных программ среднего общего образования (профильное обучение)</t>
  </si>
  <si>
    <t>Реализация основных общеобразовательных программ среднего общего образования (адаптированная образовательная программа)</t>
  </si>
  <si>
    <t>Присмотр и уход (группа продленного дня)</t>
  </si>
  <si>
    <t xml:space="preserve">Реализация дополнительных общеобразовательных  общеразвивающих программ </t>
  </si>
  <si>
    <t>субвенция пед.персонал (7564)</t>
  </si>
  <si>
    <t>иная цель краевая субвенция (7564)</t>
  </si>
  <si>
    <t>субвенция АУП (7409)</t>
  </si>
  <si>
    <t>местный бюджет (8061)</t>
  </si>
  <si>
    <t>телефон (за счет субвенции АУП) (7409)</t>
  </si>
  <si>
    <t>Почтовые расходы (за счет средств местого бюджета) (8061)</t>
  </si>
  <si>
    <t>локальная сеть, интернет (за счет субвенции пед.персонал) (7564)</t>
  </si>
  <si>
    <t>Служебные командировки-оплата проезда (за счет субвенции пед.персонал) (7564)</t>
  </si>
  <si>
    <t>субвенция  пед.персонал (7564)</t>
  </si>
  <si>
    <t>Повышение квалификации (субвенция АУП) (7409)</t>
  </si>
  <si>
    <t>Повышение квалификации (субвенция пед.персонал) (7564)</t>
  </si>
  <si>
    <t>Местный бюджет (8061)</t>
  </si>
  <si>
    <t>Субвенция пед.персонал (7564)</t>
  </si>
  <si>
    <t>Субвенция АУП (7409)</t>
  </si>
  <si>
    <t>Питание в лагере (7649)</t>
  </si>
  <si>
    <t>Иная цель (краевой S598)</t>
  </si>
  <si>
    <t>Иная цель (Е4521)</t>
  </si>
  <si>
    <t>иная цель краевая субвенция (S5980)</t>
  </si>
  <si>
    <t>Иная цель (S8400)</t>
  </si>
  <si>
    <t>Установка оконных проемов и окон (краевой бюджет)</t>
  </si>
  <si>
    <t>Установка оконных проемов и окон (местный бюджет)</t>
  </si>
  <si>
    <t>Пособие по социальной помощи населению (иная цель (7566)</t>
  </si>
  <si>
    <t>Пособие по уходу за ребенком (местный бюджет 8061)</t>
  </si>
  <si>
    <t>Краевая субвенция школа (7564)</t>
  </si>
  <si>
    <t>Краевая субвенция школа (7564 )</t>
  </si>
  <si>
    <t>Краевая субвенция прочие (7409)</t>
  </si>
  <si>
    <t>Иные цели (7649)</t>
  </si>
  <si>
    <t>1.1</t>
  </si>
  <si>
    <t>канцтовары (местный бюджет 8061)</t>
  </si>
  <si>
    <t>канцтовары (субвенция пед.персонала 7564)</t>
  </si>
  <si>
    <t>Служебные командировки-оплата проезда (за счет местного бюджета) (8061)</t>
  </si>
  <si>
    <t>Питание в лагере (S6490)</t>
  </si>
  <si>
    <t>Иная цель местный (8061)</t>
  </si>
  <si>
    <t>канцтовары (платные услуги 853)</t>
  </si>
  <si>
    <t>Наименование расходов, возмещенных за коммунальные услуги</t>
  </si>
  <si>
    <t>Остатки (8061)</t>
  </si>
  <si>
    <t>Остатки  (7564)</t>
  </si>
  <si>
    <t>Остатки  (8061)</t>
  </si>
  <si>
    <t>Местный бюджет иная цель (8061)</t>
  </si>
  <si>
    <t>Кол-во выплат</t>
  </si>
  <si>
    <t>Кол-во классов</t>
  </si>
  <si>
    <t>Сумма выплаты</t>
  </si>
  <si>
    <t>Краевая субвенция школа (7564) (классное руководство)</t>
  </si>
  <si>
    <t xml:space="preserve">Фонд денежного вознаграждения за классное руководство </t>
  </si>
  <si>
    <t>Канц.товары, игры (8214)</t>
  </si>
  <si>
    <t>Автомобильные городки (атрибутика)(8640)</t>
  </si>
  <si>
    <t>Капитальный ремонт кабинетов</t>
  </si>
  <si>
    <t>Ремонт гардеробной</t>
  </si>
  <si>
    <t>Ремонтные работы по обустройству мусорной площадки</t>
  </si>
  <si>
    <t>Иная цель (S8400, S598 )</t>
  </si>
  <si>
    <t>Ремонтные работы по установке  оконных проемов и окон (краевой бюджет) (S8400)</t>
  </si>
  <si>
    <t>Ремонтные работы по установке  оконных проемов и окон (местный бюджет) (S8400)</t>
  </si>
  <si>
    <t>Энергосервисный договор по электроэнергии</t>
  </si>
  <si>
    <t>обслуживание систем водоснабжения и водоотведения</t>
  </si>
  <si>
    <t>Краевой бюджет иная цель (7566)</t>
  </si>
  <si>
    <t>Питание учащихся без ОВЗ (федеральный бюджет) (L304)</t>
  </si>
  <si>
    <t>Светоотражающие наклейки (краевой бюджет) (7398)</t>
  </si>
  <si>
    <t>Светоотражающие наклейки (местный бюджет) (7398)</t>
  </si>
  <si>
    <t>иная цель краевая субвенция (S5980, S8400)</t>
  </si>
  <si>
    <t>Пакеты для наборов продуктов питания</t>
  </si>
  <si>
    <t xml:space="preserve">Набор продуктов питания учащихся с ОВЗ </t>
  </si>
  <si>
    <t>Строительные материалы</t>
  </si>
  <si>
    <t>Рулон шторы</t>
  </si>
  <si>
    <t>Счетчики, фонтанчики (8061)</t>
  </si>
  <si>
    <t>тренажер-манекен (8061)</t>
  </si>
  <si>
    <t>термометр (8061)</t>
  </si>
  <si>
    <t>электрооборудование (8061)</t>
  </si>
  <si>
    <t>Преподаватель организатор ОБЖ</t>
  </si>
  <si>
    <t xml:space="preserve">социальный педагог </t>
  </si>
  <si>
    <t xml:space="preserve">педагог-психолог </t>
  </si>
  <si>
    <t>Заместитель директора по ДО (Центр "Точка роста")</t>
  </si>
  <si>
    <t>в том числе: целевые субсидии</t>
  </si>
  <si>
    <t>расходы на выплаты военнослужащим и сотрудникам, имеющим специальные звания, зависящие от размера денежного довольствия</t>
  </si>
  <si>
    <t>иные выплаты населению</t>
  </si>
  <si>
    <t>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</si>
  <si>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</si>
  <si>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</si>
  <si>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>Код бюджетной классификации Российской Федерации &lt;10.1&gt;</t>
  </si>
  <si>
    <t>4.1.</t>
  </si>
  <si>
    <t>из них &lt;10.1&gt;:</t>
  </si>
  <si>
    <t>26310.1</t>
  </si>
  <si>
    <t>26421.1</t>
  </si>
  <si>
    <t>26430.1</t>
  </si>
  <si>
    <t>в соответствии с Федеральным законом N 44-ФЗ&gt;</t>
  </si>
  <si>
    <t>26451.1</t>
  </si>
  <si>
    <t>Служебные командировки-оплата проезда (за счет субвенции прочий персонал) (7409)</t>
  </si>
  <si>
    <t>ремонт кабинетов (S598)</t>
  </si>
  <si>
    <t>Ремонтные работы по замене окон и двер блоков</t>
  </si>
  <si>
    <t>Инвентарь для физики (краевой бюджет) (7564)</t>
  </si>
  <si>
    <t>Материалы для наружного освещения</t>
  </si>
  <si>
    <t>на 2023 г.</t>
  </si>
  <si>
    <t>Лего-конструирование</t>
  </si>
  <si>
    <t>Студия изобразительного искусства "Перспектива"</t>
  </si>
  <si>
    <t>остатки</t>
  </si>
  <si>
    <t>ремонт</t>
  </si>
  <si>
    <t>иная цель 8061</t>
  </si>
  <si>
    <t>Питание учащихся и учащихся с ОВЗ (7566)</t>
  </si>
  <si>
    <t>Питание учащихся начальных классов без ОВЗ (местный бюджет) (L304)</t>
  </si>
  <si>
    <t>Иная цель (Е452100)</t>
  </si>
  <si>
    <t>Внедрение модели цифровой образовательной среды (краевой бюджет)</t>
  </si>
  <si>
    <t>Внедрение модели цифровой образовательной среды (федеральный бюджет)</t>
  </si>
  <si>
    <t>Внедрение модели цифровой образовательной среды (местный бюджет)</t>
  </si>
  <si>
    <t xml:space="preserve">Мебель </t>
  </si>
  <si>
    <t xml:space="preserve"> Иная цель (7564)</t>
  </si>
  <si>
    <t>иная</t>
  </si>
  <si>
    <t>платные</t>
  </si>
  <si>
    <t>на 2023г.</t>
  </si>
  <si>
    <t>Иная цель (федеральный бюджет)(L3040)</t>
  </si>
  <si>
    <t xml:space="preserve">Иная цель краевой  </t>
  </si>
  <si>
    <t>Остатки  прошлых лет (141)</t>
  </si>
  <si>
    <t>Иная цель краевой (Е452100)</t>
  </si>
  <si>
    <t>закупка энергетических ресурсов</t>
  </si>
  <si>
    <t>количество месяцев</t>
  </si>
  <si>
    <t xml:space="preserve">Фонд оплаты труда в год </t>
  </si>
  <si>
    <t>Служебные командировки-оплата проезда (за счет субвенции АУП) (7409)</t>
  </si>
  <si>
    <t>Канц.товары</t>
  </si>
  <si>
    <t>Итого по КВР 247</t>
  </si>
  <si>
    <t>Итого по КВР 244</t>
  </si>
  <si>
    <t>Тепловые завесы</t>
  </si>
  <si>
    <t>Баннер</t>
  </si>
  <si>
    <t>Аптечки (8061)</t>
  </si>
  <si>
    <t>Материалы для уличного освещения (8061)</t>
  </si>
  <si>
    <t>Работы по уличному освещению</t>
  </si>
  <si>
    <t>Питание учащихся начальных классов без ОВЗ (краевой бюджет)  (L304)</t>
  </si>
  <si>
    <t xml:space="preserve">Оборудование </t>
  </si>
  <si>
    <t>Заместитель директора по АХЧ</t>
  </si>
  <si>
    <t>Подготовка к ЕГЭ по обществознанию</t>
  </si>
  <si>
    <t>Организация Робо-лаборатории</t>
  </si>
  <si>
    <t>Обучение чтению на англ.языке</t>
  </si>
  <si>
    <t>Светоотражающие наклейки (7398)</t>
  </si>
  <si>
    <t>Штраф по предписанию Роспотребнадзор (8061)</t>
  </si>
  <si>
    <t>Ремонт кровли</t>
  </si>
  <si>
    <t>Металлодетекторы</t>
  </si>
  <si>
    <t>Ремонт стены спортзала</t>
  </si>
  <si>
    <t>3.8.1. Обоснование (расчет) выплат персоналу при возмещении медицинского осмотра, гигиенической аттестации (заполняется раздельно по источникам финансового обеспечения).</t>
  </si>
  <si>
    <t>Возмещение расходов на прохождение медосмотра, гигиенической аттестации (7564)</t>
  </si>
  <si>
    <t>Возмещение расходов на прохождение гигиенической аттестации (7409)</t>
  </si>
  <si>
    <t>2-35-80</t>
  </si>
  <si>
    <t>Иная цель (федеральный бюджет) (L304)</t>
  </si>
  <si>
    <t>Штраф по отчету СЗВМ (остаток средств на начало текущего года (853))</t>
  </si>
  <si>
    <t>остаток средств на начало текущего года (141, 853)</t>
  </si>
  <si>
    <t>остаток средств на начало текущего года (853)</t>
  </si>
  <si>
    <t>Система Видеонаблюдения (8061)</t>
  </si>
  <si>
    <t>Система вентиляции в столовую (8061)</t>
  </si>
  <si>
    <t>Счетчик (8061)</t>
  </si>
  <si>
    <t>Работы по устранению протечки</t>
  </si>
  <si>
    <t>Изготовление пожарной декларации</t>
  </si>
  <si>
    <t>Ключ ЭЦП по 223-ФЗ, обслуживание сайта</t>
  </si>
  <si>
    <t>Повышение квалификации</t>
  </si>
  <si>
    <t>Банер, подарочная продукция (8061)</t>
  </si>
  <si>
    <t>Пеня ПФР страх.( остаток средств на начало текущего года (853))</t>
  </si>
  <si>
    <t>Комплектующие к компьютерному оборудованию (7564)</t>
  </si>
  <si>
    <t>Иная цель краевой (7398, 7564)</t>
  </si>
  <si>
    <t>на 2024 г.</t>
  </si>
  <si>
    <t>классное</t>
  </si>
  <si>
    <t>Обслуживание пожарной сигнализации</t>
  </si>
  <si>
    <t>Промывка отопительной системы</t>
  </si>
  <si>
    <t>Пересвет</t>
  </si>
  <si>
    <t>Обслуживание охранной сигнализации</t>
  </si>
  <si>
    <t>МУП</t>
  </si>
  <si>
    <t>Баярд</t>
  </si>
  <si>
    <t>скрыто</t>
  </si>
  <si>
    <t>Остаток средств на начало текущего года  (853)</t>
  </si>
  <si>
    <t>АУП</t>
  </si>
  <si>
    <t>Край иная</t>
  </si>
  <si>
    <t>скрыты строки</t>
  </si>
  <si>
    <t>Остаток средств на начало текущего года (141)</t>
  </si>
  <si>
    <t xml:space="preserve">Хозтовары </t>
  </si>
  <si>
    <t>Краевая субсидия (5303) (классное руководство)</t>
  </si>
  <si>
    <t>Местный бюджет иная цель (S6490, 8061)</t>
  </si>
  <si>
    <t xml:space="preserve">Стимулирующие директору </t>
  </si>
  <si>
    <t>Размер оплаты труда в месяц</t>
  </si>
  <si>
    <t>3.4. Обоснование (расчет) плановых показателей поступлений доходов по статье 150 "Безвозмездные денежные поступления".</t>
  </si>
  <si>
    <t>3.4.1. Обоснование (расчет) плановых показателей поступлений доходов по статье 150 "Безвозмездные денежные поступления".</t>
  </si>
  <si>
    <t>Безвозмездные денежные поступления, всего</t>
  </si>
  <si>
    <t>3.7.2. Расчет страховых взносов по обязательному социальному страхованию (субсидии на финансовое обеспечение выполнения муниципального задания)</t>
  </si>
  <si>
    <t>3.7.4. Расчет страховых взносов по обязательному социальному страхованию (целевые субсидии)</t>
  </si>
  <si>
    <t>стимулирующие</t>
  </si>
  <si>
    <t>Вызов аварийной службы</t>
  </si>
  <si>
    <t>Наборы продуктов питания (7566)</t>
  </si>
  <si>
    <t>Краевой  бюджет иная цель (7398,7566)</t>
  </si>
  <si>
    <t>Повышение педагогической компетентности родителей «Быть родителем интересно»</t>
  </si>
  <si>
    <t>Питание детей СВО (S8530)</t>
  </si>
  <si>
    <t>Мягкий спортивный инвентарь</t>
  </si>
  <si>
    <t>Канцелярские товары, офисная бумага</t>
  </si>
  <si>
    <t>на 2025 г.</t>
  </si>
  <si>
    <t>Методист</t>
  </si>
  <si>
    <t>Стимулирующие ФОТ руководителя 33,1 оклада в год</t>
  </si>
  <si>
    <t>ТО радиосистемы передачи "Стрелец-Мониторинг"</t>
  </si>
  <si>
    <t>ТО индивидуального теплового пункта</t>
  </si>
  <si>
    <t>Оборудование в кабинеты</t>
  </si>
  <si>
    <t>скрыто 853 340</t>
  </si>
  <si>
    <t>скрыто край иная</t>
  </si>
  <si>
    <t>на 2025г.</t>
  </si>
  <si>
    <t>Горячая вода (компонент на тепловую энергию), Гкал</t>
  </si>
  <si>
    <t>Тепловая энергия, Гкал</t>
  </si>
  <si>
    <t>Горячая вода (компонент на теплоноситель), м3</t>
  </si>
  <si>
    <t xml:space="preserve">Электроэнергия </t>
  </si>
  <si>
    <t>3.13.9. Обоснование (расчет) плановых показателей по расходам на оплату услуг и работ (медицинских осмотров, информационных услуг, экспертных услуг, научно – исследовательских работ, типографских работ)</t>
  </si>
  <si>
    <t>оплата услуг и работ (медицинских осмотров, информационных услуг, экспертных услуг, научно – исследовательских работ, типографских работ), не указанных выше</t>
  </si>
  <si>
    <t>0100</t>
  </si>
  <si>
    <t>0200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</si>
  <si>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</si>
  <si>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</si>
  <si>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</si>
  <si>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</si>
  <si>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</si>
  <si>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</si>
  <si>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</si>
  <si>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</si>
  <si>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</si>
  <si>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</si>
  <si>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</si>
  <si>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0400</t>
  </si>
  <si>
    <t>0500</t>
  </si>
  <si>
    <t>0600</t>
  </si>
  <si>
    <t>0001</t>
  </si>
  <si>
    <t>0002</t>
  </si>
  <si>
    <t>0003</t>
  </si>
  <si>
    <t>0004</t>
  </si>
  <si>
    <t>0005</t>
  </si>
  <si>
    <t>0006</t>
  </si>
  <si>
    <t>0008</t>
  </si>
  <si>
    <t>0007</t>
  </si>
  <si>
    <t>0009</t>
  </si>
  <si>
    <t>00010</t>
  </si>
  <si>
    <t>00011</t>
  </si>
  <si>
    <t>00012</t>
  </si>
  <si>
    <t>00013</t>
  </si>
  <si>
    <t>00014</t>
  </si>
  <si>
    <t>00015</t>
  </si>
  <si>
    <t>00016</t>
  </si>
  <si>
    <t>3.10. Обоснование (расчет) плановых показателей по расходам на уплату налогов, сборов и иных платежей (заполняется раздельно по источникам финансового обеспечения).</t>
  </si>
  <si>
    <t>0110</t>
  </si>
  <si>
    <t>0120</t>
  </si>
  <si>
    <t>0130</t>
  </si>
  <si>
    <t>0210</t>
  </si>
  <si>
    <t>0220</t>
  </si>
  <si>
    <t>0230</t>
  </si>
  <si>
    <t>0240</t>
  </si>
  <si>
    <t>0320</t>
  </si>
  <si>
    <t>0330</t>
  </si>
  <si>
    <t>0340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</si>
  <si>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 &lt;12&gt;:</t>
  </si>
  <si>
    <t>из них &lt;9.1&gt;</t>
  </si>
  <si>
    <t>из них &lt;9.2&gt;</t>
  </si>
  <si>
    <t>26310.2</t>
  </si>
  <si>
    <t>26430.2</t>
  </si>
  <si>
    <t>26451.2</t>
  </si>
  <si>
    <t xml:space="preserve">      (наименование должности уполномоченного лица уполномоченного органа)</t>
  </si>
  <si>
    <t>Работы по обустройству волейбольной площадки (S845)</t>
  </si>
  <si>
    <t>Услуга по составлению ведомости ремонтных работ (8061)</t>
  </si>
  <si>
    <t>Работы по обустройству волейбольной площадки (8061)</t>
  </si>
  <si>
    <t>на 2025  г.</t>
  </si>
  <si>
    <t>Услуги по обучению детей</t>
  </si>
  <si>
    <t>Программное обеспечение</t>
  </si>
  <si>
    <t>Услуги по тревожной кнопке (8061)</t>
  </si>
  <si>
    <t>Светоотражающие наклейки (8671)</t>
  </si>
  <si>
    <t>тьютор</t>
  </si>
  <si>
    <t>Специалист по закупкам</t>
  </si>
  <si>
    <t>МБ, платные</t>
  </si>
  <si>
    <t>Советник</t>
  </si>
  <si>
    <t xml:space="preserve">"__" __________ 2023 г.                                                  </t>
  </si>
  <si>
    <t>на 2026  г.</t>
  </si>
  <si>
    <t>на 2026г.</t>
  </si>
  <si>
    <t>на 2026 г.</t>
  </si>
  <si>
    <t xml:space="preserve">3.6.3. Расчет фонда оплаты труда на 2024 г. (текущий финансовый год) </t>
  </si>
  <si>
    <t xml:space="preserve">3.6.5. Расчет фонда оплаты труда на 2026 г. (второй год планового периода) </t>
  </si>
  <si>
    <t xml:space="preserve">3.6.4. Расчет фонда оплаты труда на 2025 г. (первый год планового периода) </t>
  </si>
  <si>
    <t>когда будут б/л, то минусовать из ст.3</t>
  </si>
  <si>
    <t>Твердые коммунальные отходы 1 полугодие</t>
  </si>
  <si>
    <t>Твердые коммунальные отходы 2 полугодие</t>
  </si>
  <si>
    <t>Услуги по испытаниям электросетей и электроустановок</t>
  </si>
  <si>
    <t>Материалы (ограждения)(S5590)</t>
  </si>
  <si>
    <t>Местный бюджет иная цель (8214,7398, S5590 )</t>
  </si>
  <si>
    <t>Местный бюджет иная цель (S5630)</t>
  </si>
  <si>
    <t>Работы по замене пола</t>
  </si>
  <si>
    <t>Краевой бюджет иная цель (S5630)</t>
  </si>
  <si>
    <t>Водоотведение 1 полугодие</t>
  </si>
  <si>
    <t>Водоотведение 2 полугодие</t>
  </si>
  <si>
    <t>Питьевая вода 1 полугодие</t>
  </si>
  <si>
    <t>Питьевая вода 2 полугодие</t>
  </si>
  <si>
    <t>Руководитель муниципального учреждения               ________________________     _______________________</t>
  </si>
  <si>
    <t>Марина Николаевна Орлова</t>
  </si>
  <si>
    <t>Краевой бюджет иная цель (7566, 7649, L3040, S5630)</t>
  </si>
  <si>
    <t>Краевой бюджет иная цель (7649, 7566, L304, S5630 )</t>
  </si>
  <si>
    <t>Иная цель краевой бюджет (питание) (7566, 7649, L3040, S5630)</t>
  </si>
  <si>
    <t>Иная цель Краевой бюдже (7566, 7649,L3040, S5630)</t>
  </si>
  <si>
    <t>Иная цель местный (8214, L3040, 8061,S8530, 8671, S5630)</t>
  </si>
  <si>
    <t>«01» января 2024г.</t>
  </si>
  <si>
    <t>скрыто 8061</t>
  </si>
  <si>
    <t>Подготовка к школе "Дошколята" (период с 18.09.2023 по 31.12.2023)</t>
  </si>
  <si>
    <t>Подготовка к школе "Дошколята" (период с 01.01.2024 по 30.04.2024)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</si>
</sst>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_ ;\-#,##0.00\ "/>
    <numFmt numFmtId="165" formatCode="_-* #,##0.0000_р_._-;\-* #,##0.00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3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0" borderId="0" xfId="0" applyFont="1"/>
    <xf numFmtId="0" fontId="6" fillId="0" borderId="1" xfId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5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7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9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/>
    <xf numFmtId="0" fontId="9" fillId="0" borderId="1" xfId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right" vertical="center" wrapText="1"/>
    </xf>
    <xf numFmtId="0" fontId="1" fillId="0" borderId="1" xfId="0" applyFont="1" applyBorder="1" applyAlignment="1"/>
    <xf numFmtId="0" fontId="5" fillId="0" borderId="0" xfId="0" applyFont="1" applyFill="1" applyBorder="1" applyAlignment="1">
      <alignment vertical="center" wrapText="1"/>
    </xf>
    <xf numFmtId="4" fontId="9" fillId="0" borderId="0" xfId="0" applyNumberFormat="1" applyFont="1"/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1" fillId="0" borderId="1" xfId="0" applyNumberFormat="1" applyFont="1" applyBorder="1"/>
    <xf numFmtId="43" fontId="5" fillId="0" borderId="1" xfId="2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43" fontId="1" fillId="0" borderId="1" xfId="0" applyNumberFormat="1" applyFont="1" applyBorder="1"/>
    <xf numFmtId="2" fontId="5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/>
    <xf numFmtId="4" fontId="1" fillId="0" borderId="0" xfId="0" applyNumberFormat="1" applyFont="1"/>
    <xf numFmtId="49" fontId="0" fillId="0" borderId="0" xfId="0" applyNumberFormat="1"/>
    <xf numFmtId="0" fontId="9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vertical="center" wrapText="1"/>
    </xf>
    <xf numFmtId="0" fontId="1" fillId="0" borderId="0" xfId="0" applyFont="1" applyFill="1"/>
    <xf numFmtId="0" fontId="6" fillId="0" borderId="1" xfId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vertical="center" wrapText="1"/>
    </xf>
    <xf numFmtId="4" fontId="3" fillId="0" borderId="0" xfId="0" applyNumberFormat="1" applyFont="1"/>
    <xf numFmtId="4" fontId="3" fillId="3" borderId="0" xfId="0" applyNumberFormat="1" applyFont="1" applyFill="1"/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 wrapText="1"/>
    </xf>
    <xf numFmtId="43" fontId="1" fillId="0" borderId="1" xfId="2" applyFont="1" applyBorder="1"/>
    <xf numFmtId="43" fontId="1" fillId="0" borderId="1" xfId="2" applyFont="1" applyBorder="1" applyAlignment="1">
      <alignment wrapText="1"/>
    </xf>
    <xf numFmtId="0" fontId="1" fillId="0" borderId="0" xfId="0" applyFont="1" applyBorder="1"/>
    <xf numFmtId="43" fontId="5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43" fontId="5" fillId="0" borderId="1" xfId="0" applyNumberFormat="1" applyFont="1" applyBorder="1" applyAlignment="1">
      <alignment vertical="center" wrapText="1"/>
    </xf>
    <xf numFmtId="43" fontId="5" fillId="0" borderId="1" xfId="2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/>
    <xf numFmtId="4" fontId="2" fillId="0" borderId="3" xfId="0" applyNumberFormat="1" applyFont="1" applyFill="1" applyBorder="1" applyAlignment="1">
      <alignment vertical="center" wrapText="1"/>
    </xf>
    <xf numFmtId="43" fontId="5" fillId="0" borderId="1" xfId="2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43" fontId="7" fillId="0" borderId="1" xfId="2" applyFont="1" applyFill="1" applyBorder="1" applyAlignment="1">
      <alignment horizontal="right" vertical="center" wrapText="1"/>
    </xf>
    <xf numFmtId="43" fontId="5" fillId="0" borderId="1" xfId="2" applyFont="1" applyFill="1" applyBorder="1" applyAlignment="1">
      <alignment horizontal="right" vertical="center" wrapText="1"/>
    </xf>
    <xf numFmtId="164" fontId="1" fillId="0" borderId="0" xfId="0" applyNumberFormat="1" applyFont="1" applyFill="1"/>
    <xf numFmtId="4" fontId="1" fillId="0" borderId="0" xfId="0" applyNumberFormat="1" applyFont="1" applyFill="1"/>
    <xf numFmtId="43" fontId="1" fillId="0" borderId="1" xfId="0" applyNumberFormat="1" applyFont="1" applyFill="1" applyBorder="1"/>
    <xf numFmtId="43" fontId="1" fillId="0" borderId="1" xfId="2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2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3" fontId="1" fillId="0" borderId="0" xfId="2" applyFont="1"/>
    <xf numFmtId="43" fontId="3" fillId="0" borderId="0" xfId="2" applyFont="1"/>
    <xf numFmtId="4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3" fontId="1" fillId="0" borderId="0" xfId="0" applyNumberFormat="1" applyFont="1"/>
    <xf numFmtId="0" fontId="5" fillId="0" borderId="1" xfId="2" applyNumberFormat="1" applyFont="1" applyBorder="1" applyAlignment="1">
      <alignment vertical="center" wrapText="1"/>
    </xf>
    <xf numFmtId="0" fontId="1" fillId="4" borderId="0" xfId="0" applyFont="1" applyFill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43" fontId="1" fillId="0" borderId="1" xfId="2" applyFont="1" applyBorder="1" applyAlignment="1">
      <alignment horizontal="center"/>
    </xf>
    <xf numFmtId="4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" fontId="5" fillId="0" borderId="3" xfId="0" applyNumberFormat="1" applyFont="1" applyBorder="1" applyAlignment="1">
      <alignment vertical="center" wrapText="1"/>
    </xf>
    <xf numFmtId="49" fontId="1" fillId="0" borderId="1" xfId="2" applyNumberFormat="1" applyFont="1" applyBorder="1" applyAlignment="1">
      <alignment horizontal="center"/>
    </xf>
    <xf numFmtId="4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3" fontId="1" fillId="0" borderId="1" xfId="2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5" fillId="0" borderId="1" xfId="2" applyNumberFormat="1" applyFont="1" applyBorder="1" applyAlignment="1">
      <alignment horizontal="right" vertical="center" wrapText="1"/>
    </xf>
    <xf numFmtId="43" fontId="5" fillId="0" borderId="3" xfId="2" applyFont="1" applyFill="1" applyBorder="1" applyAlignment="1">
      <alignment horizontal="right" vertical="center" wrapText="1"/>
    </xf>
    <xf numFmtId="2" fontId="5" fillId="0" borderId="1" xfId="2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2" fontId="5" fillId="0" borderId="1" xfId="2" applyNumberFormat="1" applyFont="1" applyBorder="1" applyAlignment="1">
      <alignment vertical="center" wrapText="1"/>
    </xf>
    <xf numFmtId="1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1" fillId="5" borderId="0" xfId="0" applyFont="1" applyFill="1"/>
    <xf numFmtId="0" fontId="1" fillId="0" borderId="2" xfId="0" applyFont="1" applyBorder="1" applyAlignment="1">
      <alignment vertical="center" wrapText="1"/>
    </xf>
    <xf numFmtId="43" fontId="1" fillId="0" borderId="0" xfId="0" applyNumberFormat="1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3" fontId="7" fillId="0" borderId="1" xfId="2" applyNumberFormat="1" applyFont="1" applyFill="1" applyBorder="1" applyAlignment="1">
      <alignment horizontal="right" vertical="center" wrapText="1"/>
    </xf>
    <xf numFmtId="43" fontId="1" fillId="0" borderId="1" xfId="2" applyFont="1" applyBorder="1" applyAlignment="1">
      <alignment horizontal="right"/>
    </xf>
    <xf numFmtId="0" fontId="5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2" fontId="1" fillId="0" borderId="1" xfId="2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0" fillId="4" borderId="0" xfId="0" applyFont="1" applyFill="1" applyAlignment="1">
      <alignment vertical="center"/>
    </xf>
    <xf numFmtId="0" fontId="0" fillId="4" borderId="0" xfId="0" applyFill="1"/>
    <xf numFmtId="2" fontId="1" fillId="0" borderId="1" xfId="2" applyNumberFormat="1" applyFont="1" applyBorder="1" applyAlignment="1">
      <alignment horizontal="center"/>
    </xf>
    <xf numFmtId="2" fontId="1" fillId="0" borderId="1" xfId="2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5" fillId="4" borderId="0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2" fontId="5" fillId="0" borderId="1" xfId="2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right"/>
    </xf>
    <xf numFmtId="43" fontId="1" fillId="0" borderId="0" xfId="2" applyFont="1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43" fontId="1" fillId="0" borderId="1" xfId="2" applyFont="1" applyFill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43" fontId="1" fillId="4" borderId="0" xfId="0" applyNumberFormat="1" applyFont="1" applyFill="1"/>
    <xf numFmtId="0" fontId="1" fillId="6" borderId="0" xfId="0" applyFont="1" applyFill="1"/>
    <xf numFmtId="4" fontId="1" fillId="6" borderId="0" xfId="0" applyNumberFormat="1" applyFont="1" applyFill="1"/>
    <xf numFmtId="4" fontId="5" fillId="6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9" fillId="4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horizontal="right" wrapText="1"/>
    </xf>
    <xf numFmtId="4" fontId="5" fillId="0" borderId="4" xfId="0" applyNumberFormat="1" applyFont="1" applyFill="1" applyBorder="1" applyAlignment="1">
      <alignment horizontal="right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9" fontId="1" fillId="0" borderId="3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A700257297D7A859C030468B937B2DBD85E5EB9E60602AC230D6E9DC28482863625EFFB5D1534D768A4F99306AV1B3I" TargetMode="External"/><Relationship Id="rId3" Type="http://schemas.openxmlformats.org/officeDocument/2006/relationships/hyperlink" Target="consultantplus://offline/ref=A700257297D7A859C030468B937B2DBD85E4EF9A61612AC230D6E9DC28482863705EA7BBD15F557DD700DF65661BC70C92EDF194103DVEB9I" TargetMode="External"/><Relationship Id="rId7" Type="http://schemas.openxmlformats.org/officeDocument/2006/relationships/hyperlink" Target="consultantplus://offline/ref=A700257297D7A859C030468B937B2DBD85E5EB9C656B2AC230D6E9DC28482863625EFFB5D1534D768A4F99306AV1B3I" TargetMode="External"/><Relationship Id="rId2" Type="http://schemas.openxmlformats.org/officeDocument/2006/relationships/hyperlink" Target="consultantplus://offline/ref=A700257297D7A859C030468B937B2DBD85E5EB9C656B2AC230D6E9DC28482863625EFFB5D1534D768A4F99306AV1B3I" TargetMode="External"/><Relationship Id="rId1" Type="http://schemas.openxmlformats.org/officeDocument/2006/relationships/hyperlink" Target="consultantplus://offline/ref=A700257297D7A859C030468B937B2DBD85E5EB9C656B2AC230D6E9DC28482863625EFFB5D1534D768A4F99306AV1B3I" TargetMode="External"/><Relationship Id="rId6" Type="http://schemas.openxmlformats.org/officeDocument/2006/relationships/hyperlink" Target="consultantplus://offline/ref=A700257297D7A859C030468B937B2DBD85E5EB9E60602AC230D6E9DC28482863625EFFB5D1534D768A4F99306AV1B3I" TargetMode="External"/><Relationship Id="rId5" Type="http://schemas.openxmlformats.org/officeDocument/2006/relationships/hyperlink" Target="consultantplus://offline/ref=A700257297D7A859C030468B937B2DBD85E5EB9C656B2AC230D6E9DC28482863625EFFB5D1534D768A4F99306AV1B3I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consultantplus://offline/ref=A700257297D7A859C030468B937B2DBD85E5EB9C656B2AC230D6E9DC28482863625EFFB5D1534D768A4F99306AV1B3I" TargetMode="External"/><Relationship Id="rId9" Type="http://schemas.openxmlformats.org/officeDocument/2006/relationships/hyperlink" Target="consultantplus://offline/ref=A700257297D7A859C030468B937B2DBD85E5EB9E60602AC230D6E9DC28482863625EFFB5D1534D768A4F99306AV1B3I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zoomScaleNormal="100" workbookViewId="0">
      <selection activeCell="D38" sqref="D38"/>
    </sheetView>
  </sheetViews>
  <sheetFormatPr defaultRowHeight="12.75" x14ac:dyDescent="0.2"/>
  <cols>
    <col min="1" max="1" width="36.140625" style="22" customWidth="1"/>
    <col min="2" max="2" width="9.140625" style="22"/>
    <col min="3" max="3" width="10.28515625" style="22" customWidth="1"/>
    <col min="4" max="4" width="14.28515625" style="22" bestFit="1" customWidth="1"/>
    <col min="5" max="5" width="13.140625" style="22" bestFit="1" customWidth="1"/>
    <col min="6" max="6" width="14.28515625" style="73" bestFit="1" customWidth="1"/>
    <col min="7" max="11" width="13.42578125" style="22" customWidth="1"/>
    <col min="12" max="12" width="10.85546875" style="22" bestFit="1" customWidth="1"/>
    <col min="13" max="13" width="10" style="22" bestFit="1" customWidth="1"/>
    <col min="14" max="16384" width="9.140625" style="22"/>
  </cols>
  <sheetData>
    <row r="1" spans="1:11" x14ac:dyDescent="0.2">
      <c r="A1" s="304" t="s">
        <v>74</v>
      </c>
      <c r="B1" s="304"/>
      <c r="C1" s="304"/>
      <c r="D1" s="304"/>
    </row>
    <row r="2" spans="1:11" x14ac:dyDescent="0.2">
      <c r="A2" s="305" t="s">
        <v>0</v>
      </c>
      <c r="B2" s="305" t="s">
        <v>406</v>
      </c>
      <c r="C2" s="320" t="s">
        <v>2</v>
      </c>
      <c r="D2" s="305" t="s">
        <v>3</v>
      </c>
      <c r="E2" s="305"/>
      <c r="F2" s="305"/>
      <c r="G2" s="305"/>
      <c r="H2" s="305"/>
      <c r="I2" s="305"/>
      <c r="J2" s="305"/>
      <c r="K2" s="305"/>
    </row>
    <row r="3" spans="1:11" x14ac:dyDescent="0.2">
      <c r="A3" s="305"/>
      <c r="B3" s="305"/>
      <c r="C3" s="320"/>
      <c r="D3" s="305" t="s">
        <v>582</v>
      </c>
      <c r="E3" s="305"/>
      <c r="F3" s="305" t="s">
        <v>614</v>
      </c>
      <c r="G3" s="305"/>
      <c r="H3" s="305" t="s">
        <v>692</v>
      </c>
      <c r="I3" s="305"/>
      <c r="J3" s="305" t="s">
        <v>5</v>
      </c>
      <c r="K3" s="305"/>
    </row>
    <row r="4" spans="1:11" x14ac:dyDescent="0.2">
      <c r="A4" s="305"/>
      <c r="B4" s="305"/>
      <c r="C4" s="320"/>
      <c r="D4" s="305" t="s">
        <v>6</v>
      </c>
      <c r="E4" s="305"/>
      <c r="F4" s="305" t="s">
        <v>7</v>
      </c>
      <c r="G4" s="305"/>
      <c r="H4" s="305" t="s">
        <v>8</v>
      </c>
      <c r="I4" s="305"/>
      <c r="J4" s="305"/>
      <c r="K4" s="305"/>
    </row>
    <row r="5" spans="1:11" ht="63.75" x14ac:dyDescent="0.2">
      <c r="A5" s="305"/>
      <c r="B5" s="305"/>
      <c r="C5" s="320"/>
      <c r="D5" s="23" t="s">
        <v>9</v>
      </c>
      <c r="E5" s="23" t="s">
        <v>10</v>
      </c>
      <c r="F5" s="132" t="s">
        <v>9</v>
      </c>
      <c r="G5" s="23" t="s">
        <v>10</v>
      </c>
      <c r="H5" s="23" t="s">
        <v>9</v>
      </c>
      <c r="I5" s="23" t="s">
        <v>10</v>
      </c>
      <c r="J5" s="23" t="s">
        <v>9</v>
      </c>
      <c r="K5" s="23" t="s">
        <v>10</v>
      </c>
    </row>
    <row r="6" spans="1:11" x14ac:dyDescent="0.2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132">
        <v>6</v>
      </c>
      <c r="G6" s="23">
        <v>7</v>
      </c>
      <c r="H6" s="23">
        <v>8</v>
      </c>
      <c r="I6" s="23">
        <v>9</v>
      </c>
      <c r="J6" s="23">
        <v>10</v>
      </c>
      <c r="K6" s="23">
        <v>11</v>
      </c>
    </row>
    <row r="7" spans="1:11" ht="25.5" x14ac:dyDescent="0.2">
      <c r="A7" s="26" t="s">
        <v>11</v>
      </c>
      <c r="B7" s="273" t="s">
        <v>645</v>
      </c>
      <c r="C7" s="23" t="s">
        <v>12</v>
      </c>
      <c r="D7" s="66">
        <v>0</v>
      </c>
      <c r="E7" s="301">
        <v>280761.90999999997</v>
      </c>
      <c r="F7" s="131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</row>
    <row r="8" spans="1:11" ht="25.5" x14ac:dyDescent="0.2">
      <c r="A8" s="26" t="s">
        <v>13</v>
      </c>
      <c r="B8" s="273" t="s">
        <v>646</v>
      </c>
      <c r="C8" s="23" t="s">
        <v>12</v>
      </c>
      <c r="D8" s="66">
        <v>0</v>
      </c>
      <c r="E8" s="66">
        <v>0</v>
      </c>
      <c r="F8" s="131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</row>
    <row r="9" spans="1:11" x14ac:dyDescent="0.2">
      <c r="A9" s="26" t="s">
        <v>350</v>
      </c>
      <c r="B9" s="273" t="s">
        <v>647</v>
      </c>
      <c r="C9" s="23" t="s">
        <v>12</v>
      </c>
      <c r="D9" s="66">
        <v>0</v>
      </c>
      <c r="E9" s="66">
        <v>0</v>
      </c>
      <c r="F9" s="131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</row>
    <row r="10" spans="1:11" x14ac:dyDescent="0.2">
      <c r="A10" s="24" t="s">
        <v>14</v>
      </c>
      <c r="B10" s="23">
        <v>1000</v>
      </c>
      <c r="C10" s="24"/>
      <c r="D10" s="66">
        <f>D17+D27</f>
        <v>91172443</v>
      </c>
      <c r="E10" s="66">
        <f>E17</f>
        <v>270000</v>
      </c>
      <c r="F10" s="131">
        <f>F17+F27</f>
        <v>90511579.469999999</v>
      </c>
      <c r="G10" s="66">
        <f t="shared" ref="G10:I10" si="0">G17</f>
        <v>0</v>
      </c>
      <c r="H10" s="66">
        <f>H17+H27</f>
        <v>85737326.650000006</v>
      </c>
      <c r="I10" s="66">
        <f t="shared" si="0"/>
        <v>0</v>
      </c>
      <c r="J10" s="66">
        <f>J17+J27+J33</f>
        <v>0</v>
      </c>
      <c r="K10" s="66">
        <f>K17+K25</f>
        <v>0</v>
      </c>
    </row>
    <row r="11" spans="1:11" x14ac:dyDescent="0.2">
      <c r="A11" s="24" t="s">
        <v>15</v>
      </c>
      <c r="B11" s="305">
        <v>1100</v>
      </c>
      <c r="C11" s="305">
        <v>120</v>
      </c>
      <c r="D11" s="311" t="s">
        <v>12</v>
      </c>
      <c r="E11" s="306">
        <f>'3.1.1.'!C12</f>
        <v>0</v>
      </c>
      <c r="F11" s="311" t="s">
        <v>12</v>
      </c>
      <c r="G11" s="306"/>
      <c r="H11" s="311" t="s">
        <v>12</v>
      </c>
      <c r="I11" s="306"/>
      <c r="J11" s="311" t="s">
        <v>12</v>
      </c>
      <c r="K11" s="306"/>
    </row>
    <row r="12" spans="1:11" x14ac:dyDescent="0.2">
      <c r="A12" s="24" t="s">
        <v>16</v>
      </c>
      <c r="B12" s="305"/>
      <c r="C12" s="305"/>
      <c r="D12" s="311"/>
      <c r="E12" s="306"/>
      <c r="F12" s="311"/>
      <c r="G12" s="306"/>
      <c r="H12" s="311"/>
      <c r="I12" s="306"/>
      <c r="J12" s="311"/>
      <c r="K12" s="306"/>
    </row>
    <row r="13" spans="1:11" x14ac:dyDescent="0.2">
      <c r="A13" s="24" t="s">
        <v>15</v>
      </c>
      <c r="B13" s="25"/>
      <c r="C13" s="25"/>
      <c r="D13" s="67" t="s">
        <v>12</v>
      </c>
      <c r="E13" s="66"/>
      <c r="F13" s="133" t="s">
        <v>12</v>
      </c>
      <c r="G13" s="66"/>
      <c r="H13" s="67" t="s">
        <v>12</v>
      </c>
      <c r="I13" s="66"/>
      <c r="J13" s="67" t="s">
        <v>12</v>
      </c>
      <c r="K13" s="66"/>
    </row>
    <row r="14" spans="1:11" ht="38.25" x14ac:dyDescent="0.2">
      <c r="A14" s="24" t="s">
        <v>17</v>
      </c>
      <c r="B14" s="23">
        <v>1110</v>
      </c>
      <c r="C14" s="23">
        <v>120</v>
      </c>
      <c r="D14" s="67" t="s">
        <v>12</v>
      </c>
      <c r="E14" s="66">
        <f>'3.1.1.'!C13:C14</f>
        <v>0</v>
      </c>
      <c r="F14" s="131"/>
      <c r="G14" s="66"/>
      <c r="H14" s="66"/>
      <c r="I14" s="66"/>
      <c r="J14" s="66"/>
      <c r="K14" s="66"/>
    </row>
    <row r="15" spans="1:11" ht="38.25" x14ac:dyDescent="0.2">
      <c r="A15" s="24" t="s">
        <v>18</v>
      </c>
      <c r="B15" s="23">
        <v>1120</v>
      </c>
      <c r="C15" s="23">
        <v>120</v>
      </c>
      <c r="D15" s="67" t="s">
        <v>12</v>
      </c>
      <c r="E15" s="66">
        <f>'3.1.1.'!C15</f>
        <v>0</v>
      </c>
      <c r="F15" s="133" t="s">
        <v>12</v>
      </c>
      <c r="G15" s="66"/>
      <c r="H15" s="67" t="s">
        <v>12</v>
      </c>
      <c r="I15" s="66"/>
      <c r="J15" s="67" t="s">
        <v>12</v>
      </c>
      <c r="K15" s="66"/>
    </row>
    <row r="16" spans="1:11" ht="38.25" x14ac:dyDescent="0.2">
      <c r="A16" s="24" t="s">
        <v>19</v>
      </c>
      <c r="B16" s="23">
        <v>1130</v>
      </c>
      <c r="C16" s="23">
        <v>120</v>
      </c>
      <c r="D16" s="67" t="s">
        <v>12</v>
      </c>
      <c r="E16" s="66">
        <f>'3.1.1.'!C17</f>
        <v>0</v>
      </c>
      <c r="F16" s="133" t="s">
        <v>12</v>
      </c>
      <c r="G16" s="66"/>
      <c r="H16" s="67" t="s">
        <v>12</v>
      </c>
      <c r="I16" s="66"/>
      <c r="J16" s="67" t="s">
        <v>12</v>
      </c>
      <c r="K16" s="66"/>
    </row>
    <row r="17" spans="1:11" ht="25.5" x14ac:dyDescent="0.2">
      <c r="A17" s="24" t="s">
        <v>20</v>
      </c>
      <c r="B17" s="23">
        <v>1200</v>
      </c>
      <c r="C17" s="23">
        <v>130</v>
      </c>
      <c r="D17" s="66">
        <f>D18</f>
        <v>71643178</v>
      </c>
      <c r="E17" s="66">
        <f>E20+E21+E22</f>
        <v>270000</v>
      </c>
      <c r="F17" s="131">
        <f>F18</f>
        <v>71643178</v>
      </c>
      <c r="G17" s="66">
        <f>G20+G21+G22</f>
        <v>0</v>
      </c>
      <c r="H17" s="66">
        <f>H18</f>
        <v>71643178</v>
      </c>
      <c r="I17" s="66">
        <f>I20+I21+I22</f>
        <v>0</v>
      </c>
      <c r="J17" s="66">
        <f>J18</f>
        <v>0</v>
      </c>
      <c r="K17" s="66">
        <f>K20+K21</f>
        <v>0</v>
      </c>
    </row>
    <row r="18" spans="1:11" x14ac:dyDescent="0.2">
      <c r="A18" s="24" t="s">
        <v>15</v>
      </c>
      <c r="B18" s="305">
        <v>1210</v>
      </c>
      <c r="C18" s="305">
        <v>130</v>
      </c>
      <c r="D18" s="306">
        <f>'3.2.2'!I16</f>
        <v>71643178</v>
      </c>
      <c r="E18" s="310" t="s">
        <v>12</v>
      </c>
      <c r="F18" s="306">
        <f>'3.2.2'!J16</f>
        <v>71643178</v>
      </c>
      <c r="G18" s="310" t="s">
        <v>12</v>
      </c>
      <c r="H18" s="306">
        <f>'3.2.2'!K16</f>
        <v>71643178</v>
      </c>
      <c r="I18" s="310" t="s">
        <v>12</v>
      </c>
      <c r="J18" s="306">
        <v>0</v>
      </c>
      <c r="K18" s="310" t="s">
        <v>12</v>
      </c>
    </row>
    <row r="19" spans="1:11" ht="25.5" x14ac:dyDescent="0.2">
      <c r="A19" s="24" t="s">
        <v>21</v>
      </c>
      <c r="B19" s="305"/>
      <c r="C19" s="305"/>
      <c r="D19" s="306"/>
      <c r="E19" s="310"/>
      <c r="F19" s="306"/>
      <c r="G19" s="310"/>
      <c r="H19" s="306"/>
      <c r="I19" s="310"/>
      <c r="J19" s="306"/>
      <c r="K19" s="310"/>
    </row>
    <row r="20" spans="1:11" ht="38.25" x14ac:dyDescent="0.2">
      <c r="A20" s="24" t="s">
        <v>278</v>
      </c>
      <c r="B20" s="23">
        <v>1220</v>
      </c>
      <c r="C20" s="23">
        <v>130</v>
      </c>
      <c r="D20" s="68" t="s">
        <v>12</v>
      </c>
      <c r="E20" s="66">
        <f>'3.2.1'!C13</f>
        <v>0</v>
      </c>
      <c r="F20" s="132" t="s">
        <v>12</v>
      </c>
      <c r="G20" s="66">
        <v>0</v>
      </c>
      <c r="H20" s="68" t="s">
        <v>12</v>
      </c>
      <c r="I20" s="66">
        <v>0</v>
      </c>
      <c r="J20" s="68" t="s">
        <v>12</v>
      </c>
      <c r="K20" s="66">
        <v>0</v>
      </c>
    </row>
    <row r="21" spans="1:11" ht="63.75" x14ac:dyDescent="0.2">
      <c r="A21" s="24" t="s">
        <v>22</v>
      </c>
      <c r="B21" s="23">
        <v>1230</v>
      </c>
      <c r="C21" s="23">
        <v>130</v>
      </c>
      <c r="D21" s="68" t="s">
        <v>12</v>
      </c>
      <c r="E21" s="66">
        <f>'3.2.1'!C14</f>
        <v>270000</v>
      </c>
      <c r="F21" s="132" t="s">
        <v>12</v>
      </c>
      <c r="G21" s="66">
        <f>'3.2.1'!D14</f>
        <v>0</v>
      </c>
      <c r="H21" s="68" t="s">
        <v>12</v>
      </c>
      <c r="I21" s="66">
        <f>'3.2.1'!E14</f>
        <v>0</v>
      </c>
      <c r="J21" s="68" t="s">
        <v>12</v>
      </c>
      <c r="K21" s="66">
        <v>0</v>
      </c>
    </row>
    <row r="22" spans="1:11" ht="51" x14ac:dyDescent="0.2">
      <c r="A22" s="24" t="s">
        <v>23</v>
      </c>
      <c r="B22" s="23">
        <v>1240</v>
      </c>
      <c r="C22" s="23">
        <v>130</v>
      </c>
      <c r="D22" s="68" t="s">
        <v>12</v>
      </c>
      <c r="E22" s="66">
        <f>'3.2.1'!C15</f>
        <v>0</v>
      </c>
      <c r="F22" s="132" t="s">
        <v>12</v>
      </c>
      <c r="G22" s="66">
        <f>'3.2.1'!D15</f>
        <v>0</v>
      </c>
      <c r="H22" s="68" t="s">
        <v>12</v>
      </c>
      <c r="I22" s="66">
        <f>'3.2.1'!E15</f>
        <v>0</v>
      </c>
      <c r="J22" s="68" t="s">
        <v>12</v>
      </c>
      <c r="K22" s="42">
        <v>0</v>
      </c>
    </row>
    <row r="23" spans="1:11" ht="25.5" x14ac:dyDescent="0.2">
      <c r="A23" s="24" t="s">
        <v>24</v>
      </c>
      <c r="B23" s="23">
        <v>1300</v>
      </c>
      <c r="C23" s="23">
        <v>140</v>
      </c>
      <c r="D23" s="68" t="s">
        <v>12</v>
      </c>
      <c r="E23" s="42">
        <v>0</v>
      </c>
      <c r="F23" s="132" t="s">
        <v>12</v>
      </c>
      <c r="G23" s="42">
        <v>0</v>
      </c>
      <c r="H23" s="68" t="s">
        <v>12</v>
      </c>
      <c r="I23" s="42">
        <v>0</v>
      </c>
      <c r="J23" s="68" t="s">
        <v>12</v>
      </c>
      <c r="K23" s="42">
        <v>0</v>
      </c>
    </row>
    <row r="24" spans="1:11" x14ac:dyDescent="0.2">
      <c r="A24" s="24" t="s">
        <v>15</v>
      </c>
      <c r="B24" s="23">
        <v>1310</v>
      </c>
      <c r="C24" s="23">
        <v>140</v>
      </c>
      <c r="D24" s="42"/>
      <c r="E24" s="42">
        <v>0</v>
      </c>
      <c r="F24" s="134"/>
      <c r="G24" s="42">
        <v>0</v>
      </c>
      <c r="H24" s="42"/>
      <c r="I24" s="42">
        <v>0</v>
      </c>
      <c r="J24" s="42"/>
      <c r="K24" s="42">
        <v>0</v>
      </c>
    </row>
    <row r="25" spans="1:11" ht="25.5" x14ac:dyDescent="0.2">
      <c r="A25" s="24" t="s">
        <v>25</v>
      </c>
      <c r="B25" s="111">
        <v>1400</v>
      </c>
      <c r="C25" s="111">
        <v>150</v>
      </c>
      <c r="D25" s="68" t="s">
        <v>12</v>
      </c>
      <c r="E25" s="66">
        <f>E26</f>
        <v>0</v>
      </c>
      <c r="F25" s="132" t="s">
        <v>12</v>
      </c>
      <c r="G25" s="42">
        <v>0</v>
      </c>
      <c r="H25" s="68" t="s">
        <v>12</v>
      </c>
      <c r="I25" s="42">
        <v>0</v>
      </c>
      <c r="J25" s="68" t="s">
        <v>12</v>
      </c>
      <c r="K25" s="42">
        <v>0</v>
      </c>
    </row>
    <row r="26" spans="1:11" ht="25.5" x14ac:dyDescent="0.2">
      <c r="A26" s="24" t="s">
        <v>279</v>
      </c>
      <c r="B26" s="116"/>
      <c r="C26" s="116"/>
      <c r="D26" s="67" t="s">
        <v>12</v>
      </c>
      <c r="E26" s="66">
        <v>0</v>
      </c>
      <c r="F26" s="131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5" customHeight="1" x14ac:dyDescent="0.2">
      <c r="A27" s="314" t="s">
        <v>500</v>
      </c>
      <c r="B27" s="308">
        <v>1410</v>
      </c>
      <c r="C27" s="308">
        <v>150</v>
      </c>
      <c r="D27" s="317">
        <f>'3.4.1'!C21</f>
        <v>19529265</v>
      </c>
      <c r="E27" s="308" t="s">
        <v>12</v>
      </c>
      <c r="F27" s="317">
        <f>'3.4.1'!D21</f>
        <v>18868401.469999999</v>
      </c>
      <c r="G27" s="308" t="s">
        <v>12</v>
      </c>
      <c r="H27" s="317">
        <f>'3.4.1'!E21</f>
        <v>14094148.65</v>
      </c>
      <c r="I27" s="308" t="s">
        <v>12</v>
      </c>
      <c r="J27" s="317">
        <f>J29+J30</f>
        <v>0</v>
      </c>
      <c r="K27" s="308" t="s">
        <v>12</v>
      </c>
    </row>
    <row r="28" spans="1:11" ht="3.75" customHeight="1" x14ac:dyDescent="0.2">
      <c r="A28" s="315"/>
      <c r="B28" s="313"/>
      <c r="C28" s="313"/>
      <c r="D28" s="318"/>
      <c r="E28" s="309"/>
      <c r="F28" s="318"/>
      <c r="G28" s="309"/>
      <c r="H28" s="318"/>
      <c r="I28" s="309"/>
      <c r="J28" s="318"/>
      <c r="K28" s="309"/>
    </row>
    <row r="29" spans="1:11" x14ac:dyDescent="0.2">
      <c r="A29" s="316"/>
      <c r="B29" s="309"/>
      <c r="C29" s="309"/>
      <c r="D29" s="319"/>
      <c r="E29" s="67" t="s">
        <v>12</v>
      </c>
      <c r="F29" s="319"/>
      <c r="G29" s="67" t="s">
        <v>12</v>
      </c>
      <c r="H29" s="319"/>
      <c r="I29" s="67" t="s">
        <v>12</v>
      </c>
      <c r="J29" s="319"/>
      <c r="K29" s="67" t="s">
        <v>12</v>
      </c>
    </row>
    <row r="30" spans="1:11" ht="25.5" x14ac:dyDescent="0.2">
      <c r="A30" s="24" t="s">
        <v>28</v>
      </c>
      <c r="B30" s="111">
        <v>1420</v>
      </c>
      <c r="C30" s="111">
        <v>150</v>
      </c>
      <c r="D30" s="66">
        <f>'3.4.1'!C18</f>
        <v>0</v>
      </c>
      <c r="E30" s="68" t="s">
        <v>12</v>
      </c>
      <c r="F30" s="131">
        <v>0</v>
      </c>
      <c r="G30" s="68" t="s">
        <v>12</v>
      </c>
      <c r="H30" s="66">
        <v>0</v>
      </c>
      <c r="I30" s="68" t="s">
        <v>12</v>
      </c>
      <c r="J30" s="66">
        <v>0</v>
      </c>
      <c r="K30" s="68" t="s">
        <v>12</v>
      </c>
    </row>
    <row r="31" spans="1:11" x14ac:dyDescent="0.2">
      <c r="A31" s="108" t="s">
        <v>26</v>
      </c>
      <c r="B31" s="111">
        <v>1500</v>
      </c>
      <c r="C31" s="111">
        <v>180</v>
      </c>
      <c r="D31" s="106"/>
      <c r="E31" s="107" t="s">
        <v>12</v>
      </c>
      <c r="F31" s="131"/>
      <c r="G31" s="107" t="s">
        <v>12</v>
      </c>
      <c r="H31" s="106"/>
      <c r="I31" s="107" t="s">
        <v>12</v>
      </c>
      <c r="J31" s="106"/>
      <c r="K31" s="107" t="s">
        <v>12</v>
      </c>
    </row>
    <row r="32" spans="1:11" x14ac:dyDescent="0.2">
      <c r="A32" s="108" t="s">
        <v>15</v>
      </c>
      <c r="B32" s="111"/>
      <c r="C32" s="111"/>
      <c r="D32" s="106"/>
      <c r="E32" s="107"/>
      <c r="F32" s="131"/>
      <c r="G32" s="107"/>
      <c r="H32" s="106"/>
      <c r="I32" s="107"/>
      <c r="J32" s="106"/>
      <c r="K32" s="107"/>
    </row>
    <row r="33" spans="1:13" x14ac:dyDescent="0.2">
      <c r="A33" s="24" t="s">
        <v>29</v>
      </c>
      <c r="B33" s="23">
        <v>1900</v>
      </c>
      <c r="C33" s="24"/>
      <c r="D33" s="66"/>
      <c r="E33" s="66"/>
      <c r="F33" s="131"/>
      <c r="G33" s="66"/>
      <c r="H33" s="66"/>
      <c r="I33" s="66"/>
      <c r="J33" s="42"/>
      <c r="K33" s="66"/>
    </row>
    <row r="34" spans="1:13" x14ac:dyDescent="0.2">
      <c r="A34" s="24" t="s">
        <v>15</v>
      </c>
      <c r="B34" s="24"/>
      <c r="C34" s="24"/>
      <c r="D34" s="66"/>
      <c r="E34" s="66"/>
      <c r="F34" s="131"/>
      <c r="G34" s="66"/>
      <c r="H34" s="66"/>
      <c r="I34" s="66"/>
      <c r="J34" s="42"/>
      <c r="K34" s="66"/>
    </row>
    <row r="35" spans="1:13" x14ac:dyDescent="0.2">
      <c r="A35" s="26" t="s">
        <v>30</v>
      </c>
      <c r="B35" s="23">
        <v>1980</v>
      </c>
      <c r="C35" s="23" t="s">
        <v>12</v>
      </c>
      <c r="D35" s="66"/>
      <c r="E35" s="66"/>
      <c r="F35" s="131"/>
      <c r="G35" s="66"/>
      <c r="H35" s="66"/>
      <c r="I35" s="66"/>
      <c r="J35" s="42"/>
      <c r="K35" s="66"/>
    </row>
    <row r="36" spans="1:13" x14ac:dyDescent="0.2">
      <c r="A36" s="24" t="s">
        <v>31</v>
      </c>
      <c r="B36" s="305">
        <v>1981</v>
      </c>
      <c r="C36" s="305">
        <v>510</v>
      </c>
      <c r="D36" s="306"/>
      <c r="E36" s="306"/>
      <c r="F36" s="306"/>
      <c r="G36" s="306"/>
      <c r="H36" s="306"/>
      <c r="I36" s="306"/>
      <c r="J36" s="310" t="s">
        <v>12</v>
      </c>
      <c r="K36" s="306"/>
    </row>
    <row r="37" spans="1:13" ht="38.25" x14ac:dyDescent="0.2">
      <c r="A37" s="24" t="s">
        <v>32</v>
      </c>
      <c r="B37" s="305"/>
      <c r="C37" s="305"/>
      <c r="D37" s="306"/>
      <c r="E37" s="306"/>
      <c r="F37" s="306"/>
      <c r="G37" s="306"/>
      <c r="H37" s="306"/>
      <c r="I37" s="306"/>
      <c r="J37" s="310"/>
      <c r="K37" s="306"/>
    </row>
    <row r="38" spans="1:13" x14ac:dyDescent="0.2">
      <c r="A38" s="24" t="s">
        <v>33</v>
      </c>
      <c r="B38" s="23">
        <v>2000</v>
      </c>
      <c r="C38" s="23" t="s">
        <v>12</v>
      </c>
      <c r="D38" s="66">
        <f>D39+D57+D66+D79+D81</f>
        <v>91172442.999489591</v>
      </c>
      <c r="E38" s="66">
        <f>E39+E57+E66+E71+E79+E81</f>
        <v>550761.90928000002</v>
      </c>
      <c r="F38" s="131">
        <f>F39+F57+F66+F71+F79+F81</f>
        <v>90511579.469489589</v>
      </c>
      <c r="G38" s="131">
        <f t="shared" ref="G38:I38" si="1">G39+G57+G66+G71+G79+G81</f>
        <v>0</v>
      </c>
      <c r="H38" s="131">
        <f>H39+H57+H66+H71+H79+H81</f>
        <v>85737326.649489596</v>
      </c>
      <c r="I38" s="131">
        <f t="shared" si="1"/>
        <v>0</v>
      </c>
      <c r="J38" s="132" t="s">
        <v>12</v>
      </c>
      <c r="K38" s="66">
        <v>0</v>
      </c>
      <c r="L38" s="31"/>
      <c r="M38" s="31"/>
    </row>
    <row r="39" spans="1:13" x14ac:dyDescent="0.2">
      <c r="A39" s="24" t="s">
        <v>15</v>
      </c>
      <c r="B39" s="305">
        <v>2100</v>
      </c>
      <c r="C39" s="305" t="s">
        <v>12</v>
      </c>
      <c r="D39" s="306">
        <f>D41+D43+D44+D45</f>
        <v>64480018.799489595</v>
      </c>
      <c r="E39" s="306">
        <f>E41+E43+E44+E45</f>
        <v>1515.0592799999999</v>
      </c>
      <c r="F39" s="306">
        <f>F41+F43+F44+F45</f>
        <v>64480018.799489595</v>
      </c>
      <c r="G39" s="306">
        <f t="shared" ref="G39:I39" si="2">G41+G43+G44+G45</f>
        <v>0</v>
      </c>
      <c r="H39" s="306">
        <f t="shared" si="2"/>
        <v>64480018.799489595</v>
      </c>
      <c r="I39" s="306">
        <f t="shared" si="2"/>
        <v>0</v>
      </c>
      <c r="J39" s="310" t="s">
        <v>12</v>
      </c>
      <c r="K39" s="306">
        <v>0</v>
      </c>
    </row>
    <row r="40" spans="1:13" x14ac:dyDescent="0.2">
      <c r="A40" s="24" t="s">
        <v>34</v>
      </c>
      <c r="B40" s="305"/>
      <c r="C40" s="305"/>
      <c r="D40" s="306"/>
      <c r="E40" s="306"/>
      <c r="F40" s="306"/>
      <c r="G40" s="306"/>
      <c r="H40" s="306"/>
      <c r="I40" s="306"/>
      <c r="J40" s="310"/>
      <c r="K40" s="306"/>
    </row>
    <row r="41" spans="1:13" x14ac:dyDescent="0.2">
      <c r="A41" s="24" t="s">
        <v>15</v>
      </c>
      <c r="B41" s="305">
        <v>2110</v>
      </c>
      <c r="C41" s="305">
        <v>111</v>
      </c>
      <c r="D41" s="306">
        <f>'3.6.1'!C12</f>
        <v>49523823.624799997</v>
      </c>
      <c r="E41" s="306">
        <f>'3.6.1'!C13</f>
        <v>1163.6399999999999</v>
      </c>
      <c r="F41" s="306">
        <f>'3.6.1'!D12</f>
        <v>49523823.624799997</v>
      </c>
      <c r="G41" s="306">
        <f>'3.6.1'!D13</f>
        <v>0</v>
      </c>
      <c r="H41" s="306">
        <f>'3.6.1'!E12</f>
        <v>49523823.624799997</v>
      </c>
      <c r="I41" s="306">
        <f>'3.6.1'!E13</f>
        <v>0</v>
      </c>
      <c r="J41" s="310" t="s">
        <v>12</v>
      </c>
      <c r="K41" s="306">
        <v>0</v>
      </c>
    </row>
    <row r="42" spans="1:13" x14ac:dyDescent="0.2">
      <c r="A42" s="24" t="s">
        <v>35</v>
      </c>
      <c r="B42" s="305"/>
      <c r="C42" s="305"/>
      <c r="D42" s="306"/>
      <c r="E42" s="306"/>
      <c r="F42" s="306"/>
      <c r="G42" s="306"/>
      <c r="H42" s="306"/>
      <c r="I42" s="306"/>
      <c r="J42" s="310"/>
      <c r="K42" s="306"/>
    </row>
    <row r="43" spans="1:13" ht="25.5" x14ac:dyDescent="0.2">
      <c r="A43" s="24" t="s">
        <v>36</v>
      </c>
      <c r="B43" s="23">
        <v>2120</v>
      </c>
      <c r="C43" s="23">
        <v>112</v>
      </c>
      <c r="D43" s="66">
        <f>'3.8.2'!L7+'3.8.1 (112)'!L17</f>
        <v>0</v>
      </c>
      <c r="E43" s="66">
        <v>0</v>
      </c>
      <c r="F43" s="131">
        <f>'3.8.2'!M7</f>
        <v>0</v>
      </c>
      <c r="G43" s="66">
        <v>0</v>
      </c>
      <c r="H43" s="66">
        <f>'3.8.2'!N7</f>
        <v>0</v>
      </c>
      <c r="I43" s="66">
        <v>0</v>
      </c>
      <c r="J43" s="68" t="s">
        <v>12</v>
      </c>
      <c r="K43" s="66">
        <v>0</v>
      </c>
    </row>
    <row r="44" spans="1:13" ht="38.25" x14ac:dyDescent="0.2">
      <c r="A44" s="24" t="s">
        <v>37</v>
      </c>
      <c r="B44" s="23">
        <v>2130</v>
      </c>
      <c r="C44" s="23">
        <v>113</v>
      </c>
      <c r="D44" s="66"/>
      <c r="E44" s="66"/>
      <c r="F44" s="131"/>
      <c r="G44" s="66"/>
      <c r="H44" s="66"/>
      <c r="I44" s="66"/>
      <c r="J44" s="68" t="s">
        <v>12</v>
      </c>
      <c r="K44" s="66"/>
    </row>
    <row r="45" spans="1:13" ht="51" x14ac:dyDescent="0.2">
      <c r="A45" s="24" t="s">
        <v>38</v>
      </c>
      <c r="B45" s="23">
        <v>2140</v>
      </c>
      <c r="C45" s="23">
        <v>119</v>
      </c>
      <c r="D45" s="66">
        <f t="shared" ref="D45:I45" si="3">D46+D48</f>
        <v>14956195.174689598</v>
      </c>
      <c r="E45" s="66">
        <f t="shared" si="3"/>
        <v>351.41927999999996</v>
      </c>
      <c r="F45" s="131">
        <f t="shared" si="3"/>
        <v>14956195.174689598</v>
      </c>
      <c r="G45" s="66">
        <f t="shared" si="3"/>
        <v>0</v>
      </c>
      <c r="H45" s="66">
        <f t="shared" si="3"/>
        <v>14956195.174689598</v>
      </c>
      <c r="I45" s="66">
        <f t="shared" si="3"/>
        <v>0</v>
      </c>
      <c r="J45" s="68" t="s">
        <v>12</v>
      </c>
      <c r="K45" s="66">
        <v>0</v>
      </c>
    </row>
    <row r="46" spans="1:13" x14ac:dyDescent="0.2">
      <c r="A46" s="24" t="s">
        <v>15</v>
      </c>
      <c r="B46" s="305">
        <v>2141</v>
      </c>
      <c r="C46" s="305">
        <v>119</v>
      </c>
      <c r="D46" s="306">
        <f>'3.7.1'!C12</f>
        <v>14956195.174689598</v>
      </c>
      <c r="E46" s="306">
        <f>'3.7.2'!F44</f>
        <v>351.41927999999996</v>
      </c>
      <c r="F46" s="306">
        <f>'3.7.1'!D12</f>
        <v>14956195.174689598</v>
      </c>
      <c r="G46" s="306">
        <f>'3.7.2'!G44</f>
        <v>0</v>
      </c>
      <c r="H46" s="306">
        <f>'3.7.1'!E12</f>
        <v>14956195.174689598</v>
      </c>
      <c r="I46" s="306">
        <f>'3.7.2'!H44</f>
        <v>0</v>
      </c>
      <c r="J46" s="310" t="s">
        <v>12</v>
      </c>
      <c r="K46" s="306">
        <v>0</v>
      </c>
    </row>
    <row r="47" spans="1:13" x14ac:dyDescent="0.2">
      <c r="A47" s="24" t="s">
        <v>39</v>
      </c>
      <c r="B47" s="305"/>
      <c r="C47" s="305"/>
      <c r="D47" s="306"/>
      <c r="E47" s="306"/>
      <c r="F47" s="306"/>
      <c r="G47" s="306"/>
      <c r="H47" s="306"/>
      <c r="I47" s="306"/>
      <c r="J47" s="310"/>
      <c r="K47" s="306"/>
    </row>
    <row r="48" spans="1:13" ht="12" customHeight="1" x14ac:dyDescent="0.2">
      <c r="A48" s="24" t="s">
        <v>40</v>
      </c>
      <c r="B48" s="23">
        <v>2142</v>
      </c>
      <c r="C48" s="23">
        <v>119</v>
      </c>
      <c r="D48" s="66"/>
      <c r="E48" s="66"/>
      <c r="F48" s="131"/>
      <c r="G48" s="66"/>
      <c r="H48" s="66"/>
      <c r="I48" s="66"/>
      <c r="J48" s="68" t="s">
        <v>12</v>
      </c>
      <c r="K48" s="66"/>
    </row>
    <row r="49" spans="1:11" ht="38.25" hidden="1" x14ac:dyDescent="0.2">
      <c r="A49" s="24" t="s">
        <v>41</v>
      </c>
      <c r="B49" s="23">
        <v>2150</v>
      </c>
      <c r="C49" s="23">
        <v>131</v>
      </c>
      <c r="D49" s="66"/>
      <c r="E49" s="66"/>
      <c r="F49" s="131"/>
      <c r="G49" s="66"/>
      <c r="H49" s="66"/>
      <c r="I49" s="66"/>
      <c r="J49" s="68" t="s">
        <v>12</v>
      </c>
      <c r="K49" s="66"/>
    </row>
    <row r="50" spans="1:11" ht="38.25" hidden="1" x14ac:dyDescent="0.2">
      <c r="A50" s="24" t="s">
        <v>42</v>
      </c>
      <c r="B50" s="23">
        <v>2160</v>
      </c>
      <c r="C50" s="23">
        <v>134</v>
      </c>
      <c r="D50" s="66"/>
      <c r="E50" s="66"/>
      <c r="F50" s="131"/>
      <c r="G50" s="66"/>
      <c r="H50" s="66"/>
      <c r="I50" s="66"/>
      <c r="J50" s="68" t="s">
        <v>12</v>
      </c>
      <c r="K50" s="66"/>
    </row>
    <row r="51" spans="1:11" ht="51" x14ac:dyDescent="0.2">
      <c r="A51" s="112" t="s">
        <v>501</v>
      </c>
      <c r="B51" s="109">
        <v>2160</v>
      </c>
      <c r="C51" s="109">
        <v>133</v>
      </c>
      <c r="D51" s="110"/>
      <c r="E51" s="110"/>
      <c r="F51" s="131"/>
      <c r="G51" s="110"/>
      <c r="H51" s="110"/>
      <c r="I51" s="110"/>
      <c r="J51" s="111"/>
      <c r="K51" s="110"/>
    </row>
    <row r="52" spans="1:11" ht="38.25" x14ac:dyDescent="0.2">
      <c r="A52" s="112" t="s">
        <v>42</v>
      </c>
      <c r="B52" s="109">
        <v>2170</v>
      </c>
      <c r="C52" s="109">
        <v>134</v>
      </c>
      <c r="D52" s="110"/>
      <c r="E52" s="110"/>
      <c r="F52" s="131"/>
      <c r="G52" s="110"/>
      <c r="H52" s="110"/>
      <c r="I52" s="110"/>
      <c r="J52" s="111"/>
      <c r="K52" s="110"/>
    </row>
    <row r="53" spans="1:11" ht="51" x14ac:dyDescent="0.2">
      <c r="A53" s="24" t="s">
        <v>43</v>
      </c>
      <c r="B53" s="23">
        <v>2180</v>
      </c>
      <c r="C53" s="23">
        <v>139</v>
      </c>
      <c r="D53" s="66"/>
      <c r="E53" s="66"/>
      <c r="F53" s="131"/>
      <c r="G53" s="66"/>
      <c r="H53" s="66"/>
      <c r="I53" s="66"/>
      <c r="J53" s="68" t="s">
        <v>12</v>
      </c>
      <c r="K53" s="66"/>
    </row>
    <row r="54" spans="1:11" x14ac:dyDescent="0.2">
      <c r="A54" s="24" t="s">
        <v>15</v>
      </c>
      <c r="B54" s="305">
        <v>2181</v>
      </c>
      <c r="C54" s="305">
        <v>139</v>
      </c>
      <c r="D54" s="306"/>
      <c r="E54" s="306"/>
      <c r="F54" s="306"/>
      <c r="G54" s="306"/>
      <c r="H54" s="306"/>
      <c r="I54" s="306"/>
      <c r="J54" s="310" t="s">
        <v>12</v>
      </c>
      <c r="K54" s="306"/>
    </row>
    <row r="55" spans="1:11" x14ac:dyDescent="0.2">
      <c r="A55" s="24" t="s">
        <v>44</v>
      </c>
      <c r="B55" s="305"/>
      <c r="C55" s="305"/>
      <c r="D55" s="306"/>
      <c r="E55" s="306"/>
      <c r="F55" s="306"/>
      <c r="G55" s="306"/>
      <c r="H55" s="306"/>
      <c r="I55" s="306"/>
      <c r="J55" s="310"/>
      <c r="K55" s="306"/>
    </row>
    <row r="56" spans="1:11" hidden="1" x14ac:dyDescent="0.2">
      <c r="A56" s="24"/>
      <c r="B56" s="23"/>
      <c r="C56" s="23"/>
      <c r="D56" s="66"/>
      <c r="E56" s="66"/>
      <c r="F56" s="131"/>
      <c r="G56" s="66"/>
      <c r="H56" s="66"/>
      <c r="I56" s="66"/>
      <c r="J56" s="68" t="s">
        <v>12</v>
      </c>
      <c r="K56" s="66"/>
    </row>
    <row r="57" spans="1:11" ht="25.5" x14ac:dyDescent="0.2">
      <c r="A57" s="24" t="s">
        <v>45</v>
      </c>
      <c r="B57" s="23">
        <v>2200</v>
      </c>
      <c r="C57" s="23">
        <v>300</v>
      </c>
      <c r="D57" s="66">
        <f>D65</f>
        <v>95250</v>
      </c>
      <c r="E57" s="66">
        <f t="shared" ref="E57:I57" si="4">E58+E63</f>
        <v>0</v>
      </c>
      <c r="F57" s="131">
        <v>95250</v>
      </c>
      <c r="G57" s="66">
        <f t="shared" si="4"/>
        <v>0</v>
      </c>
      <c r="H57" s="66">
        <v>95250</v>
      </c>
      <c r="I57" s="66">
        <f t="shared" si="4"/>
        <v>0</v>
      </c>
      <c r="J57" s="68" t="s">
        <v>12</v>
      </c>
      <c r="K57" s="66"/>
    </row>
    <row r="58" spans="1:11" x14ac:dyDescent="0.2">
      <c r="A58" s="24" t="s">
        <v>15</v>
      </c>
      <c r="B58" s="305">
        <v>2210</v>
      </c>
      <c r="C58" s="305">
        <v>320</v>
      </c>
      <c r="D58" s="306">
        <f t="shared" ref="D58:I58" si="5">D60</f>
        <v>0</v>
      </c>
      <c r="E58" s="306">
        <f t="shared" si="5"/>
        <v>0</v>
      </c>
      <c r="F58" s="306">
        <f t="shared" si="5"/>
        <v>0</v>
      </c>
      <c r="G58" s="306">
        <f t="shared" si="5"/>
        <v>0</v>
      </c>
      <c r="H58" s="306">
        <f t="shared" si="5"/>
        <v>0</v>
      </c>
      <c r="I58" s="306">
        <f t="shared" si="5"/>
        <v>0</v>
      </c>
      <c r="J58" s="310" t="s">
        <v>12</v>
      </c>
      <c r="K58" s="306">
        <f>K60</f>
        <v>0</v>
      </c>
    </row>
    <row r="59" spans="1:11" ht="38.25" x14ac:dyDescent="0.2">
      <c r="A59" s="24" t="s">
        <v>46</v>
      </c>
      <c r="B59" s="305"/>
      <c r="C59" s="305"/>
      <c r="D59" s="306"/>
      <c r="E59" s="306"/>
      <c r="F59" s="306"/>
      <c r="G59" s="306"/>
      <c r="H59" s="306"/>
      <c r="I59" s="306"/>
      <c r="J59" s="310"/>
      <c r="K59" s="306"/>
    </row>
    <row r="60" spans="1:11" x14ac:dyDescent="0.2">
      <c r="A60" s="24" t="s">
        <v>31</v>
      </c>
      <c r="B60" s="305">
        <v>2211</v>
      </c>
      <c r="C60" s="305">
        <v>321</v>
      </c>
      <c r="D60" s="306">
        <v>0</v>
      </c>
      <c r="E60" s="306">
        <v>0</v>
      </c>
      <c r="F60" s="306">
        <v>0</v>
      </c>
      <c r="G60" s="306">
        <v>0</v>
      </c>
      <c r="H60" s="306">
        <v>0</v>
      </c>
      <c r="I60" s="306">
        <v>0</v>
      </c>
      <c r="J60" s="310" t="s">
        <v>12</v>
      </c>
      <c r="K60" s="306">
        <v>0</v>
      </c>
    </row>
    <row r="61" spans="1:11" ht="37.5" customHeight="1" x14ac:dyDescent="0.2">
      <c r="A61" s="24" t="s">
        <v>47</v>
      </c>
      <c r="B61" s="305"/>
      <c r="C61" s="305"/>
      <c r="D61" s="306"/>
      <c r="E61" s="306"/>
      <c r="F61" s="306"/>
      <c r="G61" s="306"/>
      <c r="H61" s="306"/>
      <c r="I61" s="306"/>
      <c r="J61" s="310"/>
      <c r="K61" s="306"/>
    </row>
    <row r="62" spans="1:11" ht="51" hidden="1" x14ac:dyDescent="0.2">
      <c r="A62" s="24" t="s">
        <v>48</v>
      </c>
      <c r="B62" s="23">
        <v>2220</v>
      </c>
      <c r="C62" s="23">
        <v>340</v>
      </c>
      <c r="D62" s="66"/>
      <c r="E62" s="66"/>
      <c r="F62" s="131"/>
      <c r="G62" s="66"/>
      <c r="H62" s="66"/>
      <c r="I62" s="66"/>
      <c r="J62" s="68" t="s">
        <v>12</v>
      </c>
      <c r="K62" s="66"/>
    </row>
    <row r="63" spans="1:11" ht="75.75" customHeight="1" x14ac:dyDescent="0.2">
      <c r="A63" s="24" t="s">
        <v>49</v>
      </c>
      <c r="B63" s="23">
        <v>2230</v>
      </c>
      <c r="C63" s="23">
        <v>350</v>
      </c>
      <c r="D63" s="66"/>
      <c r="E63" s="66"/>
      <c r="F63" s="131"/>
      <c r="G63" s="66"/>
      <c r="H63" s="66"/>
      <c r="I63" s="66"/>
      <c r="J63" s="68" t="s">
        <v>12</v>
      </c>
      <c r="K63" s="66"/>
    </row>
    <row r="64" spans="1:11" ht="38.25" hidden="1" x14ac:dyDescent="0.2">
      <c r="A64" s="24" t="s">
        <v>50</v>
      </c>
      <c r="B64" s="23">
        <v>2240</v>
      </c>
      <c r="C64" s="23">
        <v>360</v>
      </c>
      <c r="D64" s="66"/>
      <c r="E64" s="66"/>
      <c r="F64" s="131"/>
      <c r="G64" s="66"/>
      <c r="H64" s="66"/>
      <c r="I64" s="66"/>
      <c r="J64" s="68" t="s">
        <v>12</v>
      </c>
      <c r="K64" s="66"/>
    </row>
    <row r="65" spans="1:11" x14ac:dyDescent="0.2">
      <c r="A65" s="112" t="s">
        <v>502</v>
      </c>
      <c r="B65" s="109">
        <v>2240</v>
      </c>
      <c r="C65" s="109">
        <v>360</v>
      </c>
      <c r="D65" s="110">
        <f>'3.9'!I7</f>
        <v>95250</v>
      </c>
      <c r="E65" s="110"/>
      <c r="F65" s="131">
        <f>'3.9'!J7</f>
        <v>95250</v>
      </c>
      <c r="G65" s="110"/>
      <c r="H65" s="110">
        <f>'3.9'!K7</f>
        <v>95250</v>
      </c>
      <c r="I65" s="110"/>
      <c r="J65" s="111"/>
      <c r="K65" s="110"/>
    </row>
    <row r="66" spans="1:11" ht="25.5" x14ac:dyDescent="0.2">
      <c r="A66" s="24" t="s">
        <v>51</v>
      </c>
      <c r="B66" s="23">
        <v>2300</v>
      </c>
      <c r="C66" s="23">
        <v>850</v>
      </c>
      <c r="D66" s="66">
        <f>D70</f>
        <v>0</v>
      </c>
      <c r="E66" s="66">
        <f>E70</f>
        <v>0</v>
      </c>
      <c r="F66" s="131">
        <v>0</v>
      </c>
      <c r="G66" s="66">
        <v>0</v>
      </c>
      <c r="H66" s="66">
        <v>0</v>
      </c>
      <c r="I66" s="66">
        <v>0</v>
      </c>
      <c r="J66" s="68" t="s">
        <v>12</v>
      </c>
      <c r="K66" s="66">
        <v>0</v>
      </c>
    </row>
    <row r="67" spans="1:11" x14ac:dyDescent="0.2">
      <c r="A67" s="24" t="s">
        <v>31</v>
      </c>
      <c r="B67" s="305">
        <v>2310</v>
      </c>
      <c r="C67" s="305">
        <v>851</v>
      </c>
      <c r="D67" s="306"/>
      <c r="E67" s="306"/>
      <c r="F67" s="306"/>
      <c r="G67" s="306"/>
      <c r="H67" s="306"/>
      <c r="I67" s="306"/>
      <c r="J67" s="310" t="s">
        <v>12</v>
      </c>
      <c r="K67" s="306"/>
    </row>
    <row r="68" spans="1:11" ht="25.5" x14ac:dyDescent="0.2">
      <c r="A68" s="24" t="s">
        <v>52</v>
      </c>
      <c r="B68" s="305"/>
      <c r="C68" s="305"/>
      <c r="D68" s="306"/>
      <c r="E68" s="306"/>
      <c r="F68" s="306"/>
      <c r="G68" s="306"/>
      <c r="H68" s="306"/>
      <c r="I68" s="306"/>
      <c r="J68" s="310"/>
      <c r="K68" s="306"/>
    </row>
    <row r="69" spans="1:11" ht="51" x14ac:dyDescent="0.2">
      <c r="A69" s="24" t="s">
        <v>53</v>
      </c>
      <c r="B69" s="23">
        <v>2320</v>
      </c>
      <c r="C69" s="23">
        <v>852</v>
      </c>
      <c r="D69" s="66"/>
      <c r="E69" s="66"/>
      <c r="F69" s="131"/>
      <c r="G69" s="66"/>
      <c r="H69" s="66"/>
      <c r="I69" s="66"/>
      <c r="J69" s="68" t="s">
        <v>12</v>
      </c>
      <c r="K69" s="66"/>
    </row>
    <row r="70" spans="1:11" ht="25.5" x14ac:dyDescent="0.2">
      <c r="A70" s="24" t="s">
        <v>54</v>
      </c>
      <c r="B70" s="23">
        <v>2330</v>
      </c>
      <c r="C70" s="23">
        <v>853</v>
      </c>
      <c r="D70" s="66">
        <f>'3.10'!I8</f>
        <v>0</v>
      </c>
      <c r="E70" s="66">
        <f>'3.10'!I7+'3.10'!I9</f>
        <v>0</v>
      </c>
      <c r="F70" s="131">
        <v>0</v>
      </c>
      <c r="G70" s="66">
        <v>0</v>
      </c>
      <c r="H70" s="66">
        <v>0</v>
      </c>
      <c r="I70" s="66">
        <v>0</v>
      </c>
      <c r="J70" s="68" t="s">
        <v>12</v>
      </c>
      <c r="K70" s="66">
        <v>0</v>
      </c>
    </row>
    <row r="71" spans="1:11" ht="25.5" x14ac:dyDescent="0.2">
      <c r="A71" s="24" t="s">
        <v>55</v>
      </c>
      <c r="B71" s="111">
        <v>2400</v>
      </c>
      <c r="C71" s="23" t="s">
        <v>12</v>
      </c>
      <c r="D71" s="66"/>
      <c r="E71" s="66"/>
      <c r="F71" s="131"/>
      <c r="G71" s="66"/>
      <c r="H71" s="66"/>
      <c r="I71" s="66"/>
      <c r="J71" s="68" t="s">
        <v>12</v>
      </c>
      <c r="K71" s="66"/>
    </row>
    <row r="72" spans="1:11" x14ac:dyDescent="0.2">
      <c r="A72" s="24" t="s">
        <v>31</v>
      </c>
      <c r="B72" s="310">
        <v>2410</v>
      </c>
      <c r="C72" s="305">
        <v>613</v>
      </c>
      <c r="D72" s="306"/>
      <c r="E72" s="306"/>
      <c r="F72" s="306"/>
      <c r="G72" s="306"/>
      <c r="H72" s="306"/>
      <c r="I72" s="306"/>
      <c r="J72" s="310" t="s">
        <v>12</v>
      </c>
      <c r="K72" s="306"/>
    </row>
    <row r="73" spans="1:11" ht="25.5" x14ac:dyDescent="0.2">
      <c r="A73" s="24" t="s">
        <v>503</v>
      </c>
      <c r="B73" s="310"/>
      <c r="C73" s="305"/>
      <c r="D73" s="306"/>
      <c r="E73" s="306"/>
      <c r="F73" s="306"/>
      <c r="G73" s="306"/>
      <c r="H73" s="306"/>
      <c r="I73" s="306"/>
      <c r="J73" s="310"/>
      <c r="K73" s="306"/>
    </row>
    <row r="74" spans="1:11" ht="25.5" x14ac:dyDescent="0.2">
      <c r="A74" s="112" t="s">
        <v>504</v>
      </c>
      <c r="B74" s="111">
        <v>2420</v>
      </c>
      <c r="C74" s="109">
        <v>623</v>
      </c>
      <c r="D74" s="110"/>
      <c r="E74" s="110"/>
      <c r="F74" s="131"/>
      <c r="G74" s="110"/>
      <c r="H74" s="110"/>
      <c r="I74" s="110"/>
      <c r="J74" s="111"/>
      <c r="K74" s="110"/>
    </row>
    <row r="75" spans="1:11" ht="51" x14ac:dyDescent="0.2">
      <c r="A75" s="112" t="s">
        <v>505</v>
      </c>
      <c r="B75" s="111">
        <v>2430</v>
      </c>
      <c r="C75" s="109">
        <v>634</v>
      </c>
      <c r="D75" s="110"/>
      <c r="E75" s="110"/>
      <c r="F75" s="131"/>
      <c r="G75" s="110"/>
      <c r="H75" s="110"/>
      <c r="I75" s="110"/>
      <c r="J75" s="111"/>
      <c r="K75" s="110"/>
    </row>
    <row r="76" spans="1:11" ht="25.5" x14ac:dyDescent="0.2">
      <c r="A76" s="112" t="s">
        <v>56</v>
      </c>
      <c r="B76" s="111">
        <v>2440</v>
      </c>
      <c r="C76" s="109">
        <v>810</v>
      </c>
      <c r="D76" s="110"/>
      <c r="E76" s="110"/>
      <c r="F76" s="131"/>
      <c r="G76" s="110"/>
      <c r="H76" s="110"/>
      <c r="I76" s="110"/>
      <c r="J76" s="111"/>
      <c r="K76" s="110"/>
    </row>
    <row r="77" spans="1:11" x14ac:dyDescent="0.2">
      <c r="A77" s="24" t="s">
        <v>57</v>
      </c>
      <c r="B77" s="111">
        <v>2450</v>
      </c>
      <c r="C77" s="23">
        <v>862</v>
      </c>
      <c r="D77" s="66"/>
      <c r="E77" s="66"/>
      <c r="F77" s="131"/>
      <c r="G77" s="66"/>
      <c r="H77" s="66"/>
      <c r="I77" s="66"/>
      <c r="J77" s="68" t="s">
        <v>12</v>
      </c>
      <c r="K77" s="66"/>
    </row>
    <row r="78" spans="1:11" ht="51" x14ac:dyDescent="0.2">
      <c r="A78" s="24" t="s">
        <v>58</v>
      </c>
      <c r="B78" s="111">
        <v>2460</v>
      </c>
      <c r="C78" s="23">
        <v>863</v>
      </c>
      <c r="D78" s="66"/>
      <c r="E78" s="66"/>
      <c r="F78" s="131"/>
      <c r="G78" s="66"/>
      <c r="H78" s="66"/>
      <c r="I78" s="66"/>
      <c r="J78" s="68" t="s">
        <v>12</v>
      </c>
      <c r="K78" s="66"/>
    </row>
    <row r="79" spans="1:11" ht="25.5" x14ac:dyDescent="0.2">
      <c r="A79" s="24" t="s">
        <v>59</v>
      </c>
      <c r="B79" s="23">
        <v>2500</v>
      </c>
      <c r="C79" s="23" t="s">
        <v>12</v>
      </c>
      <c r="D79" s="66">
        <f>'3.12'!I10</f>
        <v>0</v>
      </c>
      <c r="E79" s="66">
        <v>0</v>
      </c>
      <c r="F79" s="131">
        <v>0</v>
      </c>
      <c r="G79" s="66">
        <v>0</v>
      </c>
      <c r="H79" s="66">
        <v>0</v>
      </c>
      <c r="I79" s="66">
        <v>0</v>
      </c>
      <c r="J79" s="68" t="s">
        <v>12</v>
      </c>
      <c r="K79" s="66">
        <v>0</v>
      </c>
    </row>
    <row r="80" spans="1:11" ht="51" x14ac:dyDescent="0.2">
      <c r="A80" s="24" t="s">
        <v>60</v>
      </c>
      <c r="B80" s="23">
        <v>2520</v>
      </c>
      <c r="C80" s="23">
        <v>831</v>
      </c>
      <c r="D80" s="66"/>
      <c r="E80" s="66"/>
      <c r="F80" s="131"/>
      <c r="G80" s="66"/>
      <c r="H80" s="66"/>
      <c r="I80" s="66"/>
      <c r="J80" s="68" t="s">
        <v>12</v>
      </c>
      <c r="K80" s="66"/>
    </row>
    <row r="81" spans="1:11" ht="25.5" x14ac:dyDescent="0.2">
      <c r="A81" s="26" t="s">
        <v>61</v>
      </c>
      <c r="B81" s="23">
        <v>2600</v>
      </c>
      <c r="C81" s="23" t="s">
        <v>12</v>
      </c>
      <c r="D81" s="66">
        <f t="shared" ref="D81:I81" si="6">D82+D84+D85+D86</f>
        <v>26597174.199999999</v>
      </c>
      <c r="E81" s="66">
        <f t="shared" si="6"/>
        <v>549246.85</v>
      </c>
      <c r="F81" s="131">
        <f t="shared" si="6"/>
        <v>25936310.669999998</v>
      </c>
      <c r="G81" s="66">
        <f t="shared" si="6"/>
        <v>0</v>
      </c>
      <c r="H81" s="66">
        <f t="shared" si="6"/>
        <v>21162057.850000001</v>
      </c>
      <c r="I81" s="66">
        <f t="shared" si="6"/>
        <v>0</v>
      </c>
      <c r="J81" s="42">
        <v>0</v>
      </c>
      <c r="K81" s="66">
        <v>0</v>
      </c>
    </row>
    <row r="82" spans="1:11" x14ac:dyDescent="0.2">
      <c r="A82" s="24" t="s">
        <v>15</v>
      </c>
      <c r="B82" s="305">
        <v>2610</v>
      </c>
      <c r="C82" s="305">
        <v>241</v>
      </c>
      <c r="D82" s="306"/>
      <c r="E82" s="306"/>
      <c r="F82" s="306"/>
      <c r="G82" s="306"/>
      <c r="H82" s="306"/>
      <c r="I82" s="306"/>
      <c r="J82" s="307"/>
      <c r="K82" s="306"/>
    </row>
    <row r="83" spans="1:11" ht="25.5" x14ac:dyDescent="0.2">
      <c r="A83" s="24" t="s">
        <v>62</v>
      </c>
      <c r="B83" s="305"/>
      <c r="C83" s="305"/>
      <c r="D83" s="306"/>
      <c r="E83" s="306"/>
      <c r="F83" s="306"/>
      <c r="G83" s="306"/>
      <c r="H83" s="306"/>
      <c r="I83" s="306"/>
      <c r="J83" s="307"/>
      <c r="K83" s="306"/>
    </row>
    <row r="84" spans="1:11" hidden="1" x14ac:dyDescent="0.2">
      <c r="A84" s="24"/>
      <c r="B84" s="23"/>
      <c r="C84" s="23"/>
      <c r="D84" s="66"/>
      <c r="E84" s="66"/>
      <c r="F84" s="131"/>
      <c r="G84" s="66"/>
      <c r="H84" s="66"/>
      <c r="I84" s="66"/>
      <c r="J84" s="42"/>
      <c r="K84" s="66"/>
    </row>
    <row r="85" spans="1:11" ht="38.25" x14ac:dyDescent="0.2">
      <c r="A85" s="24" t="s">
        <v>63</v>
      </c>
      <c r="B85" s="23">
        <v>2630</v>
      </c>
      <c r="C85" s="23">
        <v>243</v>
      </c>
      <c r="D85" s="66"/>
      <c r="E85" s="66"/>
      <c r="F85" s="131"/>
      <c r="G85" s="66"/>
      <c r="H85" s="66"/>
      <c r="I85" s="66"/>
      <c r="J85" s="42"/>
      <c r="K85" s="66"/>
    </row>
    <row r="86" spans="1:11" ht="25.5" x14ac:dyDescent="0.2">
      <c r="A86" s="24" t="s">
        <v>64</v>
      </c>
      <c r="B86" s="23">
        <v>2640</v>
      </c>
      <c r="C86" s="23">
        <v>244</v>
      </c>
      <c r="D86" s="66">
        <f>'3.13.1'!D11+'3.13.1'!F11+'3.13.1'!H11+'3.13.1'!J11+'3.13.1'!M11+'3.13.1'!N11+'3.13.1'!O11+'3.13.1'!U11</f>
        <v>26597174.199999999</v>
      </c>
      <c r="E86" s="66">
        <f>'3.13.1'!P11+'3.13.1'!Q11+'3.13.1'!R11</f>
        <v>549246.85</v>
      </c>
      <c r="F86" s="131">
        <f>'3.13.1'!D34+'3.13.1'!F34+'3.13.1'!H34+'3.13.1'!J34+'3.13.1'!M34+'3.13.1'!N34+'3.13.1'!O34+'3.13.1'!U34</f>
        <v>25936310.669999998</v>
      </c>
      <c r="G86" s="66">
        <f>'3.13.1'!P34</f>
        <v>0</v>
      </c>
      <c r="H86" s="66">
        <f>'3.13.1'!D57+'3.13.1'!F57+'3.13.1'!H57+'3.13.1'!J57+'3.13.1'!M57+'3.13.1'!O57+'3.13.1'!U57</f>
        <v>21162057.850000001</v>
      </c>
      <c r="I86" s="66">
        <f>'3.13.1'!P57</f>
        <v>0</v>
      </c>
      <c r="J86" s="42">
        <v>0</v>
      </c>
      <c r="K86" s="66">
        <v>0</v>
      </c>
    </row>
    <row r="87" spans="1:11" x14ac:dyDescent="0.2">
      <c r="A87" s="156" t="s">
        <v>540</v>
      </c>
      <c r="B87" s="157">
        <v>2641</v>
      </c>
      <c r="C87" s="157">
        <v>247</v>
      </c>
      <c r="D87" s="155">
        <f>'3.13.4'!I21</f>
        <v>4232800</v>
      </c>
      <c r="E87" s="145">
        <v>0</v>
      </c>
      <c r="F87" s="145">
        <f>'3.13.4'!J21</f>
        <v>4232800</v>
      </c>
      <c r="G87" s="145">
        <v>0</v>
      </c>
      <c r="H87" s="145">
        <f>'3.13.4'!K21</f>
        <v>4232800</v>
      </c>
      <c r="I87" s="145">
        <v>0</v>
      </c>
      <c r="J87" s="146"/>
      <c r="K87" s="145"/>
    </row>
    <row r="88" spans="1:11" x14ac:dyDescent="0.2">
      <c r="A88" s="156" t="s">
        <v>31</v>
      </c>
      <c r="B88" s="156"/>
      <c r="C88" s="156"/>
      <c r="D88" s="155"/>
      <c r="E88" s="66"/>
      <c r="F88" s="131"/>
      <c r="G88" s="66"/>
      <c r="H88" s="66"/>
      <c r="I88" s="66"/>
      <c r="J88" s="42"/>
      <c r="K88" s="66"/>
    </row>
    <row r="89" spans="1:11" ht="25.5" x14ac:dyDescent="0.2">
      <c r="A89" s="24" t="s">
        <v>65</v>
      </c>
      <c r="B89" s="23">
        <v>2650</v>
      </c>
      <c r="C89" s="23">
        <v>400</v>
      </c>
      <c r="D89" s="66"/>
      <c r="E89" s="66"/>
      <c r="F89" s="131"/>
      <c r="G89" s="66"/>
      <c r="H89" s="66"/>
      <c r="I89" s="66"/>
      <c r="J89" s="42"/>
      <c r="K89" s="66"/>
    </row>
    <row r="90" spans="1:11" x14ac:dyDescent="0.2">
      <c r="A90" s="24" t="s">
        <v>15</v>
      </c>
      <c r="B90" s="305">
        <v>2651</v>
      </c>
      <c r="C90" s="305">
        <v>406</v>
      </c>
      <c r="D90" s="306"/>
      <c r="E90" s="306"/>
      <c r="F90" s="306"/>
      <c r="G90" s="306"/>
      <c r="H90" s="306"/>
      <c r="I90" s="306"/>
      <c r="J90" s="307"/>
      <c r="K90" s="306"/>
    </row>
    <row r="91" spans="1:11" ht="38.25" x14ac:dyDescent="0.2">
      <c r="A91" s="24" t="s">
        <v>66</v>
      </c>
      <c r="B91" s="305"/>
      <c r="C91" s="305"/>
      <c r="D91" s="306"/>
      <c r="E91" s="306"/>
      <c r="F91" s="306"/>
      <c r="G91" s="306"/>
      <c r="H91" s="306"/>
      <c r="I91" s="306"/>
      <c r="J91" s="307"/>
      <c r="K91" s="306"/>
    </row>
    <row r="92" spans="1:11" ht="38.25" x14ac:dyDescent="0.2">
      <c r="A92" s="24" t="s">
        <v>67</v>
      </c>
      <c r="B92" s="23">
        <v>2652</v>
      </c>
      <c r="C92" s="23">
        <v>407</v>
      </c>
      <c r="D92" s="66"/>
      <c r="E92" s="66"/>
      <c r="F92" s="131"/>
      <c r="G92" s="66"/>
      <c r="H92" s="66"/>
      <c r="I92" s="66"/>
      <c r="J92" s="42"/>
      <c r="K92" s="66"/>
    </row>
    <row r="93" spans="1:11" x14ac:dyDescent="0.2">
      <c r="A93" s="26" t="s">
        <v>68</v>
      </c>
      <c r="B93" s="23">
        <v>3000</v>
      </c>
      <c r="C93" s="23">
        <v>100</v>
      </c>
      <c r="D93" s="66"/>
      <c r="E93" s="66"/>
      <c r="F93" s="131"/>
      <c r="G93" s="66"/>
      <c r="H93" s="66"/>
      <c r="I93" s="66"/>
      <c r="J93" s="68" t="s">
        <v>12</v>
      </c>
      <c r="K93" s="66"/>
    </row>
    <row r="94" spans="1:11" x14ac:dyDescent="0.2">
      <c r="A94" s="24" t="s">
        <v>15</v>
      </c>
      <c r="B94" s="305">
        <v>3010</v>
      </c>
      <c r="C94" s="312"/>
      <c r="D94" s="306"/>
      <c r="E94" s="306"/>
      <c r="F94" s="306"/>
      <c r="G94" s="306"/>
      <c r="H94" s="306"/>
      <c r="I94" s="306"/>
      <c r="J94" s="310" t="s">
        <v>12</v>
      </c>
      <c r="K94" s="306"/>
    </row>
    <row r="95" spans="1:11" x14ac:dyDescent="0.2">
      <c r="A95" s="26" t="s">
        <v>69</v>
      </c>
      <c r="B95" s="305"/>
      <c r="C95" s="312"/>
      <c r="D95" s="306"/>
      <c r="E95" s="306"/>
      <c r="F95" s="306"/>
      <c r="G95" s="306"/>
      <c r="H95" s="306"/>
      <c r="I95" s="306"/>
      <c r="J95" s="310"/>
      <c r="K95" s="306"/>
    </row>
    <row r="96" spans="1:11" x14ac:dyDescent="0.2">
      <c r="A96" s="26" t="s">
        <v>70</v>
      </c>
      <c r="B96" s="23">
        <v>3020</v>
      </c>
      <c r="C96" s="24"/>
      <c r="D96" s="66"/>
      <c r="E96" s="66"/>
      <c r="F96" s="131"/>
      <c r="G96" s="66"/>
      <c r="H96" s="66"/>
      <c r="I96" s="66"/>
      <c r="J96" s="68" t="s">
        <v>12</v>
      </c>
      <c r="K96" s="66"/>
    </row>
    <row r="97" spans="1:11" x14ac:dyDescent="0.2">
      <c r="A97" s="26" t="s">
        <v>71</v>
      </c>
      <c r="B97" s="23">
        <v>3030</v>
      </c>
      <c r="C97" s="24"/>
      <c r="D97" s="66"/>
      <c r="E97" s="66"/>
      <c r="F97" s="131"/>
      <c r="G97" s="66"/>
      <c r="H97" s="66"/>
      <c r="I97" s="66"/>
      <c r="J97" s="68" t="s">
        <v>12</v>
      </c>
      <c r="K97" s="66"/>
    </row>
    <row r="98" spans="1:11" x14ac:dyDescent="0.2">
      <c r="A98" s="26" t="s">
        <v>72</v>
      </c>
      <c r="B98" s="23">
        <v>4000</v>
      </c>
      <c r="C98" s="23" t="s">
        <v>12</v>
      </c>
      <c r="D98" s="66"/>
      <c r="E98" s="66"/>
      <c r="F98" s="131"/>
      <c r="G98" s="66"/>
      <c r="H98" s="66"/>
      <c r="I98" s="66"/>
      <c r="J98" s="68" t="s">
        <v>12</v>
      </c>
      <c r="K98" s="66"/>
    </row>
    <row r="99" spans="1:11" x14ac:dyDescent="0.2">
      <c r="A99" s="24" t="s">
        <v>31</v>
      </c>
      <c r="B99" s="305">
        <v>4010</v>
      </c>
      <c r="C99" s="305">
        <v>610</v>
      </c>
      <c r="D99" s="306"/>
      <c r="E99" s="306"/>
      <c r="F99" s="306"/>
      <c r="G99" s="306"/>
      <c r="H99" s="306"/>
      <c r="I99" s="306"/>
      <c r="J99" s="310" t="s">
        <v>12</v>
      </c>
      <c r="K99" s="306"/>
    </row>
    <row r="100" spans="1:11" x14ac:dyDescent="0.2">
      <c r="A100" s="24" t="s">
        <v>73</v>
      </c>
      <c r="B100" s="305"/>
      <c r="C100" s="305"/>
      <c r="D100" s="306"/>
      <c r="E100" s="306"/>
      <c r="F100" s="306"/>
      <c r="G100" s="306"/>
      <c r="H100" s="306"/>
      <c r="I100" s="306"/>
      <c r="J100" s="310"/>
      <c r="K100" s="306"/>
    </row>
    <row r="101" spans="1:11" x14ac:dyDescent="0.2">
      <c r="D101" s="31"/>
      <c r="E101" s="31"/>
    </row>
  </sheetData>
  <mergeCells count="173">
    <mergeCell ref="A27:A29"/>
    <mergeCell ref="D27:D29"/>
    <mergeCell ref="F27:F29"/>
    <mergeCell ref="H27:H29"/>
    <mergeCell ref="J27:J29"/>
    <mergeCell ref="B2:B5"/>
    <mergeCell ref="C2:C5"/>
    <mergeCell ref="D2:K2"/>
    <mergeCell ref="D3:E3"/>
    <mergeCell ref="F3:G3"/>
    <mergeCell ref="H3:I3"/>
    <mergeCell ref="I27:I28"/>
    <mergeCell ref="G27:G28"/>
    <mergeCell ref="K11:K12"/>
    <mergeCell ref="B18:B19"/>
    <mergeCell ref="C18:C19"/>
    <mergeCell ref="D18:D19"/>
    <mergeCell ref="E18:E19"/>
    <mergeCell ref="F18:F19"/>
    <mergeCell ref="J3:K4"/>
    <mergeCell ref="D4:E4"/>
    <mergeCell ref="J18:J19"/>
    <mergeCell ref="K18:K19"/>
    <mergeCell ref="F11:F12"/>
    <mergeCell ref="G11:G12"/>
    <mergeCell ref="F4:G4"/>
    <mergeCell ref="H4:I4"/>
    <mergeCell ref="B11:B12"/>
    <mergeCell ref="C11:C12"/>
    <mergeCell ref="D11:D12"/>
    <mergeCell ref="K36:K37"/>
    <mergeCell ref="B39:B40"/>
    <mergeCell ref="C39:C40"/>
    <mergeCell ref="D39:D40"/>
    <mergeCell ref="E39:E40"/>
    <mergeCell ref="F39:F40"/>
    <mergeCell ref="G39:G40"/>
    <mergeCell ref="G18:G19"/>
    <mergeCell ref="I18:I19"/>
    <mergeCell ref="E11:E12"/>
    <mergeCell ref="E27:E28"/>
    <mergeCell ref="J11:J12"/>
    <mergeCell ref="I11:I12"/>
    <mergeCell ref="B27:B29"/>
    <mergeCell ref="C27:C29"/>
    <mergeCell ref="E41:E42"/>
    <mergeCell ref="F41:F42"/>
    <mergeCell ref="G41:G42"/>
    <mergeCell ref="I36:I37"/>
    <mergeCell ref="H36:H37"/>
    <mergeCell ref="J36:J37"/>
    <mergeCell ref="K41:K42"/>
    <mergeCell ref="B46:B47"/>
    <mergeCell ref="C46:C47"/>
    <mergeCell ref="D46:D47"/>
    <mergeCell ref="E46:E47"/>
    <mergeCell ref="F46:F47"/>
    <mergeCell ref="G46:G47"/>
    <mergeCell ref="I39:I40"/>
    <mergeCell ref="H39:H40"/>
    <mergeCell ref="J39:J40"/>
    <mergeCell ref="K39:K40"/>
    <mergeCell ref="B36:B37"/>
    <mergeCell ref="C36:C37"/>
    <mergeCell ref="D36:D37"/>
    <mergeCell ref="E36:E37"/>
    <mergeCell ref="F36:F37"/>
    <mergeCell ref="G36:G37"/>
    <mergeCell ref="K58:K59"/>
    <mergeCell ref="B54:B55"/>
    <mergeCell ref="C54:C55"/>
    <mergeCell ref="D54:D55"/>
    <mergeCell ref="E54:E55"/>
    <mergeCell ref="F54:F55"/>
    <mergeCell ref="G54:G55"/>
    <mergeCell ref="I41:I42"/>
    <mergeCell ref="H41:H42"/>
    <mergeCell ref="J41:J42"/>
    <mergeCell ref="K54:K55"/>
    <mergeCell ref="B58:B59"/>
    <mergeCell ref="C58:C59"/>
    <mergeCell ref="D58:D59"/>
    <mergeCell ref="E58:E59"/>
    <mergeCell ref="F58:F59"/>
    <mergeCell ref="G58:G59"/>
    <mergeCell ref="I46:I47"/>
    <mergeCell ref="H46:H47"/>
    <mergeCell ref="J46:J47"/>
    <mergeCell ref="K46:K47"/>
    <mergeCell ref="B41:B42"/>
    <mergeCell ref="C41:C42"/>
    <mergeCell ref="D41:D42"/>
    <mergeCell ref="C60:C61"/>
    <mergeCell ref="D60:D61"/>
    <mergeCell ref="E60:E61"/>
    <mergeCell ref="F60:F61"/>
    <mergeCell ref="G60:G61"/>
    <mergeCell ref="I54:I55"/>
    <mergeCell ref="H54:H55"/>
    <mergeCell ref="J54:J55"/>
    <mergeCell ref="J60:J61"/>
    <mergeCell ref="H60:H61"/>
    <mergeCell ref="I60:I61"/>
    <mergeCell ref="I58:I59"/>
    <mergeCell ref="H58:H59"/>
    <mergeCell ref="J58:J59"/>
    <mergeCell ref="J99:J100"/>
    <mergeCell ref="K99:K100"/>
    <mergeCell ref="J94:J95"/>
    <mergeCell ref="K94:K95"/>
    <mergeCell ref="I94:I95"/>
    <mergeCell ref="G99:G100"/>
    <mergeCell ref="H99:H100"/>
    <mergeCell ref="B90:B91"/>
    <mergeCell ref="C90:C91"/>
    <mergeCell ref="D90:D91"/>
    <mergeCell ref="E90:E91"/>
    <mergeCell ref="I99:I100"/>
    <mergeCell ref="B99:B100"/>
    <mergeCell ref="C99:C100"/>
    <mergeCell ref="D99:D100"/>
    <mergeCell ref="E99:E100"/>
    <mergeCell ref="B94:B95"/>
    <mergeCell ref="K90:K91"/>
    <mergeCell ref="J90:J91"/>
    <mergeCell ref="I90:I91"/>
    <mergeCell ref="F90:F91"/>
    <mergeCell ref="G90:G91"/>
    <mergeCell ref="F99:F100"/>
    <mergeCell ref="C94:C95"/>
    <mergeCell ref="D94:D95"/>
    <mergeCell ref="E94:E95"/>
    <mergeCell ref="G94:G95"/>
    <mergeCell ref="H94:H95"/>
    <mergeCell ref="C67:C68"/>
    <mergeCell ref="D67:D68"/>
    <mergeCell ref="E67:E68"/>
    <mergeCell ref="F94:F95"/>
    <mergeCell ref="F72:F73"/>
    <mergeCell ref="F67:F68"/>
    <mergeCell ref="E82:E83"/>
    <mergeCell ref="F82:F83"/>
    <mergeCell ref="H90:H91"/>
    <mergeCell ref="C72:C73"/>
    <mergeCell ref="D72:D73"/>
    <mergeCell ref="E72:E73"/>
    <mergeCell ref="G72:G73"/>
    <mergeCell ref="H72:H73"/>
    <mergeCell ref="H67:H68"/>
    <mergeCell ref="A1:D1"/>
    <mergeCell ref="A2:A5"/>
    <mergeCell ref="K82:K83"/>
    <mergeCell ref="J82:J83"/>
    <mergeCell ref="K27:K28"/>
    <mergeCell ref="B82:B83"/>
    <mergeCell ref="C82:C83"/>
    <mergeCell ref="D82:D83"/>
    <mergeCell ref="I67:I68"/>
    <mergeCell ref="J67:J68"/>
    <mergeCell ref="I72:I73"/>
    <mergeCell ref="G67:G68"/>
    <mergeCell ref="H18:H19"/>
    <mergeCell ref="H11:H12"/>
    <mergeCell ref="K60:K61"/>
    <mergeCell ref="B67:B68"/>
    <mergeCell ref="B72:B73"/>
    <mergeCell ref="J72:J73"/>
    <mergeCell ref="K72:K73"/>
    <mergeCell ref="K67:K68"/>
    <mergeCell ref="G82:G83"/>
    <mergeCell ref="H82:H83"/>
    <mergeCell ref="I82:I83"/>
    <mergeCell ref="B60:B61"/>
  </mergeCells>
  <phoneticPr fontId="12" type="noConversion"/>
  <hyperlinks>
    <hyperlink ref="C2" location="Par1118" tooltip="&lt;3&gt; В графе 3 отражаются:" display="Par1118"/>
    <hyperlink ref="A7" location="Par1124" tooltip="&lt;4&gt; По строкам 0001 и 0002 указываются планируемые суммы остатков средств на начало и на конец планируемого года, если указанные показатели по решению органа, осуществляющего функции и полномочия учредителя, планируются на этапе формирования проекта Плана" display="Par1124"/>
    <hyperlink ref="A8" location="Par1124" tooltip="&lt;4&gt; По строкам 0001 и 0002 указываются планируемые суммы остатков средств на начало и на конец планируемого года, если указанные показатели по решению органа, осуществляющего функции и полномочия учредителя, планируются на этапе формирования проекта Плана" display="Par1124"/>
    <hyperlink ref="A35" location="Par1125" tooltip="&lt;5&gt;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, включая возврат предоставленных займов (микрозаймов), а также за счет возврата средств, размещенны" display="Par1125"/>
    <hyperlink ref="A81" location="Par1126" tooltip="&lt;6&gt; Показатели выплат по расходам на закупки товаров, работ, услуг, отраженные в строке 2600 раздела 1 &quot;Поступления и выплаты&quot; Плана, подлежат детализации в разделе 2 &quot;Сведения по выплатам на закупку товаров, работ, услуг&quot; Плана." display="Par1126"/>
    <hyperlink ref="A93" location="Par1127" tooltip="&lt;7&gt; Показатель отражается со знаком &quot;минус&quot;." display="Par1127"/>
    <hyperlink ref="A95" location="Par1127" tooltip="&lt;7&gt; Показатель отражается со знаком &quot;минус&quot;." display="Par1127"/>
    <hyperlink ref="A96" location="Par1127" tooltip="&lt;7&gt; Показатель отражается со знаком &quot;минус&quot;." display="Par1127"/>
    <hyperlink ref="A97" location="Par1127" tooltip="&lt;7&gt; Показатель отражается со знаком &quot;минус&quot;." display="Par1127"/>
    <hyperlink ref="A98" location="Par1128" tooltip="&lt;8&gt; Показатели прочих выплат включают в себя в том числе показатели уменьшения денежных средств за счет возврата средств субсидий, предоставленных до начала текущего финансового года, предоставления займов (микрозаймов), размещения автономными учреждениям" display="Par1128"/>
  </hyperlinks>
  <pageMargins left="0.39370078740157483" right="0.39370078740157483" top="0.39370078740157483" bottom="0.39370078740157483" header="0.31496062992125984" footer="0.31496062992125984"/>
  <pageSetup paperSize="9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E25" sqref="E25"/>
    </sheetView>
  </sheetViews>
  <sheetFormatPr defaultRowHeight="12.75" x14ac:dyDescent="0.2"/>
  <cols>
    <col min="1" max="1" width="26.5703125" style="3" customWidth="1"/>
    <col min="2" max="2" width="9.140625" style="3"/>
    <col min="3" max="11" width="17.85546875" style="3" customWidth="1"/>
    <col min="12" max="13" width="11.28515625" style="3" bestFit="1" customWidth="1"/>
    <col min="14" max="16384" width="9.140625" style="3"/>
  </cols>
  <sheetData>
    <row r="1" spans="1:13" x14ac:dyDescent="0.2">
      <c r="A1" s="3" t="s">
        <v>159</v>
      </c>
    </row>
    <row r="3" spans="1:13" x14ac:dyDescent="0.2">
      <c r="A3" s="335" t="s">
        <v>463</v>
      </c>
      <c r="B3" s="335" t="s">
        <v>1</v>
      </c>
      <c r="C3" s="343" t="s">
        <v>158</v>
      </c>
      <c r="D3" s="335"/>
      <c r="E3" s="335"/>
      <c r="F3" s="343" t="s">
        <v>152</v>
      </c>
      <c r="G3" s="335"/>
      <c r="H3" s="335"/>
      <c r="I3" s="344" t="s">
        <v>154</v>
      </c>
      <c r="J3" s="345"/>
      <c r="K3" s="345"/>
    </row>
    <row r="4" spans="1:13" x14ac:dyDescent="0.2">
      <c r="A4" s="335"/>
      <c r="B4" s="335"/>
      <c r="C4" s="164" t="s">
        <v>365</v>
      </c>
      <c r="D4" s="164" t="s">
        <v>519</v>
      </c>
      <c r="E4" s="164" t="s">
        <v>582</v>
      </c>
      <c r="F4" s="195" t="s">
        <v>365</v>
      </c>
      <c r="G4" s="195" t="s">
        <v>519</v>
      </c>
      <c r="H4" s="195" t="s">
        <v>582</v>
      </c>
      <c r="I4" s="195" t="s">
        <v>365</v>
      </c>
      <c r="J4" s="195" t="s">
        <v>519</v>
      </c>
      <c r="K4" s="195" t="s">
        <v>582</v>
      </c>
    </row>
    <row r="5" spans="1:13" ht="25.5" x14ac:dyDescent="0.2">
      <c r="A5" s="335"/>
      <c r="B5" s="335"/>
      <c r="C5" s="161" t="s">
        <v>79</v>
      </c>
      <c r="D5" s="161" t="s">
        <v>80</v>
      </c>
      <c r="E5" s="161" t="s">
        <v>81</v>
      </c>
      <c r="F5" s="161" t="s">
        <v>79</v>
      </c>
      <c r="G5" s="161" t="s">
        <v>80</v>
      </c>
      <c r="H5" s="161" t="s">
        <v>81</v>
      </c>
      <c r="I5" s="166" t="s">
        <v>79</v>
      </c>
      <c r="J5" s="166" t="s">
        <v>80</v>
      </c>
      <c r="K5" s="166" t="s">
        <v>81</v>
      </c>
    </row>
    <row r="6" spans="1:13" x14ac:dyDescent="0.2">
      <c r="A6" s="161">
        <v>1</v>
      </c>
      <c r="B6" s="161">
        <v>2</v>
      </c>
      <c r="C6" s="161">
        <v>3</v>
      </c>
      <c r="D6" s="161">
        <v>4</v>
      </c>
      <c r="E6" s="161">
        <v>5</v>
      </c>
      <c r="F6" s="161">
        <v>6</v>
      </c>
      <c r="G6" s="161">
        <v>7</v>
      </c>
      <c r="H6" s="161">
        <v>8</v>
      </c>
      <c r="I6" s="166">
        <v>9</v>
      </c>
      <c r="J6" s="166">
        <v>10</v>
      </c>
      <c r="K6" s="166">
        <v>11</v>
      </c>
    </row>
    <row r="7" spans="1:13" x14ac:dyDescent="0.2">
      <c r="A7" s="36"/>
      <c r="B7" s="64"/>
      <c r="C7" s="227"/>
      <c r="D7" s="224"/>
      <c r="E7" s="224"/>
      <c r="F7" s="207"/>
      <c r="G7" s="207"/>
      <c r="H7" s="207"/>
      <c r="I7" s="225"/>
      <c r="J7" s="225"/>
      <c r="K7" s="225"/>
    </row>
    <row r="8" spans="1:13" x14ac:dyDescent="0.2">
      <c r="A8" s="36"/>
      <c r="B8" s="64"/>
      <c r="C8" s="227"/>
      <c r="D8" s="224"/>
      <c r="E8" s="224"/>
      <c r="F8" s="207"/>
      <c r="G8" s="207"/>
      <c r="H8" s="207"/>
      <c r="I8" s="225"/>
      <c r="J8" s="225"/>
      <c r="K8" s="225"/>
    </row>
    <row r="9" spans="1:13" x14ac:dyDescent="0.2">
      <c r="A9" s="36"/>
      <c r="B9" s="64"/>
      <c r="C9" s="227"/>
      <c r="D9" s="224"/>
      <c r="E9" s="224"/>
      <c r="F9" s="207"/>
      <c r="G9" s="207"/>
      <c r="H9" s="207"/>
      <c r="I9" s="225"/>
      <c r="J9" s="225"/>
      <c r="K9" s="225"/>
    </row>
    <row r="10" spans="1:13" x14ac:dyDescent="0.2">
      <c r="A10" s="36"/>
      <c r="B10" s="64"/>
      <c r="C10" s="227"/>
      <c r="D10" s="224"/>
      <c r="E10" s="224"/>
      <c r="F10" s="207"/>
      <c r="G10" s="207"/>
      <c r="H10" s="207"/>
      <c r="I10" s="225"/>
      <c r="J10" s="225"/>
      <c r="K10" s="225"/>
    </row>
    <row r="11" spans="1:13" x14ac:dyDescent="0.2">
      <c r="A11" s="36"/>
      <c r="B11" s="64"/>
      <c r="C11" s="227"/>
      <c r="D11" s="224"/>
      <c r="E11" s="224"/>
      <c r="F11" s="162"/>
      <c r="G11" s="162"/>
      <c r="H11" s="162"/>
      <c r="I11" s="225"/>
      <c r="J11" s="225"/>
      <c r="K11" s="225"/>
      <c r="L11" s="104"/>
      <c r="M11" s="122"/>
    </row>
    <row r="12" spans="1:13" x14ac:dyDescent="0.2">
      <c r="A12" s="36"/>
      <c r="B12" s="64"/>
      <c r="C12" s="227"/>
      <c r="D12" s="224"/>
      <c r="E12" s="224"/>
      <c r="F12" s="207"/>
      <c r="G12" s="207"/>
      <c r="H12" s="207"/>
      <c r="I12" s="225"/>
      <c r="J12" s="225"/>
      <c r="K12" s="225"/>
    </row>
    <row r="13" spans="1:13" x14ac:dyDescent="0.2">
      <c r="A13" s="36"/>
      <c r="B13" s="64"/>
      <c r="C13" s="227"/>
      <c r="D13" s="224"/>
      <c r="E13" s="224"/>
      <c r="F13" s="207"/>
      <c r="G13" s="207"/>
      <c r="H13" s="207"/>
      <c r="I13" s="225"/>
      <c r="J13" s="225"/>
      <c r="K13" s="225"/>
      <c r="L13" s="104"/>
      <c r="M13" s="122"/>
    </row>
    <row r="14" spans="1:13" x14ac:dyDescent="0.2">
      <c r="A14" s="36"/>
      <c r="B14" s="64"/>
      <c r="C14" s="227"/>
      <c r="D14" s="224"/>
      <c r="E14" s="224"/>
      <c r="F14" s="162"/>
      <c r="G14" s="162"/>
      <c r="H14" s="162"/>
      <c r="I14" s="225"/>
      <c r="J14" s="225"/>
      <c r="K14" s="225"/>
    </row>
    <row r="15" spans="1:13" x14ac:dyDescent="0.2">
      <c r="A15" s="36"/>
      <c r="B15" s="64"/>
      <c r="C15" s="227"/>
      <c r="D15" s="224"/>
      <c r="E15" s="224"/>
      <c r="F15" s="162"/>
      <c r="G15" s="162"/>
      <c r="H15" s="162"/>
      <c r="I15" s="225"/>
      <c r="J15" s="225"/>
      <c r="K15" s="225"/>
      <c r="L15" s="104"/>
      <c r="M15" s="122"/>
    </row>
    <row r="16" spans="1:13" x14ac:dyDescent="0.2">
      <c r="A16" s="36"/>
      <c r="B16" s="64"/>
      <c r="C16" s="227"/>
      <c r="D16" s="37"/>
      <c r="E16" s="37"/>
      <c r="F16" s="162"/>
      <c r="G16" s="162"/>
      <c r="H16" s="162"/>
      <c r="I16" s="225"/>
      <c r="J16" s="225"/>
      <c r="K16" s="225"/>
    </row>
    <row r="17" spans="1:11" x14ac:dyDescent="0.2">
      <c r="A17" s="11"/>
      <c r="B17" s="11"/>
      <c r="C17" s="11"/>
      <c r="D17" s="11"/>
      <c r="E17" s="11"/>
      <c r="F17" s="11"/>
      <c r="G17" s="11"/>
      <c r="H17" s="11"/>
      <c r="I17" s="226"/>
      <c r="J17" s="225"/>
      <c r="K17" s="225"/>
    </row>
  </sheetData>
  <mergeCells count="5">
    <mergeCell ref="A3:A5"/>
    <mergeCell ref="B3:B5"/>
    <mergeCell ref="C3:E3"/>
    <mergeCell ref="F3:H3"/>
    <mergeCell ref="I3:K3"/>
  </mergeCells>
  <phoneticPr fontId="12" type="noConversion"/>
  <pageMargins left="0.7" right="0.7" top="0.75" bottom="0.75" header="0.3" footer="0.3"/>
  <pageSetup paperSize="9"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workbookViewId="0">
      <selection activeCell="B19" sqref="B19"/>
    </sheetView>
  </sheetViews>
  <sheetFormatPr defaultRowHeight="12.75" x14ac:dyDescent="0.2"/>
  <cols>
    <col min="1" max="1" width="43.28515625" style="3" customWidth="1"/>
    <col min="2" max="2" width="9.140625" style="3"/>
    <col min="3" max="5" width="18.5703125" style="3" customWidth="1"/>
    <col min="6" max="16384" width="9.140625" style="3"/>
  </cols>
  <sheetData>
    <row r="1" spans="1:5" ht="31.5" customHeight="1" x14ac:dyDescent="0.2">
      <c r="A1" s="340" t="s">
        <v>167</v>
      </c>
      <c r="B1" s="340"/>
      <c r="C1" s="340"/>
      <c r="D1" s="340"/>
      <c r="E1" s="340"/>
    </row>
    <row r="2" spans="1:5" x14ac:dyDescent="0.2">
      <c r="A2" s="13"/>
      <c r="B2" s="14"/>
      <c r="C2" s="14"/>
      <c r="D2" s="14"/>
      <c r="E2" s="14"/>
    </row>
    <row r="3" spans="1:5" ht="32.25" customHeight="1" x14ac:dyDescent="0.2">
      <c r="A3" s="340" t="s">
        <v>168</v>
      </c>
      <c r="B3" s="340"/>
      <c r="C3" s="340"/>
      <c r="D3" s="340"/>
      <c r="E3" s="340"/>
    </row>
    <row r="5" spans="1:5" x14ac:dyDescent="0.2">
      <c r="A5" s="335" t="s">
        <v>0</v>
      </c>
      <c r="B5" s="335" t="s">
        <v>1</v>
      </c>
      <c r="C5" s="335" t="s">
        <v>117</v>
      </c>
      <c r="D5" s="335"/>
      <c r="E5" s="335"/>
    </row>
    <row r="6" spans="1:5" x14ac:dyDescent="0.2">
      <c r="A6" s="335"/>
      <c r="B6" s="335"/>
      <c r="C6" s="136" t="s">
        <v>369</v>
      </c>
      <c r="D6" s="136" t="s">
        <v>365</v>
      </c>
      <c r="E6" s="136" t="s">
        <v>535</v>
      </c>
    </row>
    <row r="7" spans="1:5" ht="25.5" x14ac:dyDescent="0.2">
      <c r="A7" s="335"/>
      <c r="B7" s="335"/>
      <c r="C7" s="2" t="s">
        <v>79</v>
      </c>
      <c r="D7" s="2" t="s">
        <v>80</v>
      </c>
      <c r="E7" s="2" t="s">
        <v>81</v>
      </c>
    </row>
    <row r="8" spans="1:5" x14ac:dyDescent="0.2">
      <c r="A8" s="2">
        <v>1</v>
      </c>
      <c r="B8" s="2">
        <v>2</v>
      </c>
      <c r="C8" s="2">
        <v>3</v>
      </c>
      <c r="D8" s="2">
        <v>4</v>
      </c>
      <c r="E8" s="2">
        <v>5</v>
      </c>
    </row>
    <row r="9" spans="1:5" ht="25.5" x14ac:dyDescent="0.2">
      <c r="A9" s="6" t="s">
        <v>118</v>
      </c>
      <c r="B9" s="266" t="s">
        <v>629</v>
      </c>
      <c r="C9" s="6">
        <v>0</v>
      </c>
      <c r="D9" s="6">
        <v>0</v>
      </c>
      <c r="E9" s="6">
        <v>0</v>
      </c>
    </row>
    <row r="10" spans="1:5" ht="38.25" x14ac:dyDescent="0.2">
      <c r="A10" s="6" t="s">
        <v>160</v>
      </c>
      <c r="B10" s="266" t="s">
        <v>630</v>
      </c>
      <c r="C10" s="6">
        <v>0</v>
      </c>
      <c r="D10" s="6">
        <v>0</v>
      </c>
      <c r="E10" s="6">
        <v>0</v>
      </c>
    </row>
    <row r="11" spans="1:5" ht="25.5" x14ac:dyDescent="0.2">
      <c r="A11" s="6" t="s">
        <v>161</v>
      </c>
      <c r="B11" s="266" t="s">
        <v>631</v>
      </c>
      <c r="C11" s="6">
        <f>C12</f>
        <v>0</v>
      </c>
      <c r="D11" s="6">
        <v>0</v>
      </c>
      <c r="E11" s="6">
        <v>0</v>
      </c>
    </row>
    <row r="12" spans="1:5" x14ac:dyDescent="0.2">
      <c r="A12" s="6" t="s">
        <v>15</v>
      </c>
      <c r="B12" s="337" t="s">
        <v>641</v>
      </c>
      <c r="C12" s="336"/>
      <c r="D12" s="336">
        <v>0</v>
      </c>
      <c r="E12" s="336">
        <v>0</v>
      </c>
    </row>
    <row r="13" spans="1:5" x14ac:dyDescent="0.2">
      <c r="A13" s="6" t="s">
        <v>162</v>
      </c>
      <c r="B13" s="338"/>
      <c r="C13" s="336"/>
      <c r="D13" s="336"/>
      <c r="E13" s="336"/>
    </row>
    <row r="14" spans="1:5" x14ac:dyDescent="0.2">
      <c r="A14" s="6" t="s">
        <v>163</v>
      </c>
      <c r="B14" s="266" t="s">
        <v>669</v>
      </c>
      <c r="C14" s="6"/>
      <c r="D14" s="6"/>
      <c r="E14" s="6"/>
    </row>
    <row r="15" spans="1:5" x14ac:dyDescent="0.2">
      <c r="A15" s="6" t="s">
        <v>164</v>
      </c>
      <c r="B15" s="266" t="s">
        <v>670</v>
      </c>
      <c r="C15" s="6"/>
      <c r="D15" s="6"/>
      <c r="E15" s="6"/>
    </row>
    <row r="16" spans="1:5" ht="25.5" x14ac:dyDescent="0.2">
      <c r="A16" s="6" t="s">
        <v>127</v>
      </c>
      <c r="B16" s="266" t="s">
        <v>642</v>
      </c>
      <c r="C16" s="6">
        <v>0</v>
      </c>
      <c r="D16" s="6">
        <v>0</v>
      </c>
      <c r="E16" s="6">
        <v>0</v>
      </c>
    </row>
    <row r="17" spans="1:5" ht="38.25" x14ac:dyDescent="0.2">
      <c r="A17" s="6" t="s">
        <v>165</v>
      </c>
      <c r="B17" s="266" t="s">
        <v>643</v>
      </c>
      <c r="C17" s="6">
        <v>0</v>
      </c>
      <c r="D17" s="6">
        <v>0</v>
      </c>
      <c r="E17" s="6">
        <v>0</v>
      </c>
    </row>
    <row r="18" spans="1:5" ht="38.25" x14ac:dyDescent="0.2">
      <c r="A18" s="6" t="s">
        <v>166</v>
      </c>
      <c r="B18" s="266" t="s">
        <v>644</v>
      </c>
      <c r="C18" s="6">
        <f>C10+C11-C16+C17</f>
        <v>0</v>
      </c>
      <c r="D18" s="135">
        <f t="shared" ref="D18:E18" si="0">D10+D11-D16+D17</f>
        <v>0</v>
      </c>
      <c r="E18" s="135">
        <f t="shared" si="0"/>
        <v>0</v>
      </c>
    </row>
  </sheetData>
  <mergeCells count="9">
    <mergeCell ref="B12:B13"/>
    <mergeCell ref="C12:C13"/>
    <mergeCell ref="D12:D13"/>
    <mergeCell ref="E12:E13"/>
    <mergeCell ref="A1:E1"/>
    <mergeCell ref="A3:E3"/>
    <mergeCell ref="A5:A7"/>
    <mergeCell ref="B5:B7"/>
    <mergeCell ref="C5:E5"/>
  </mergeCells>
  <phoneticPr fontId="12" type="noConversion"/>
  <pageMargins left="0.7" right="0.7" top="0.75" bottom="0.75" header="0.3" footer="0.3"/>
  <pageSetup paperSize="9" scale="8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E18" sqref="E18"/>
    </sheetView>
  </sheetViews>
  <sheetFormatPr defaultRowHeight="12.75" x14ac:dyDescent="0.2"/>
  <cols>
    <col min="1" max="1" width="29.5703125" style="3" customWidth="1"/>
    <col min="2" max="2" width="9.140625" style="3"/>
    <col min="3" max="5" width="24.140625" style="3" customWidth="1"/>
    <col min="6" max="16384" width="9.140625" style="3"/>
  </cols>
  <sheetData>
    <row r="1" spans="1:5" x14ac:dyDescent="0.2">
      <c r="A1" s="346" t="s">
        <v>601</v>
      </c>
      <c r="B1" s="346"/>
      <c r="C1" s="346"/>
      <c r="D1" s="346"/>
      <c r="E1" s="346"/>
    </row>
    <row r="2" spans="1:5" x14ac:dyDescent="0.2">
      <c r="A2" s="14"/>
      <c r="B2" s="14"/>
      <c r="C2" s="14"/>
      <c r="D2" s="14"/>
      <c r="E2" s="14"/>
    </row>
    <row r="3" spans="1:5" x14ac:dyDescent="0.2">
      <c r="A3" s="346" t="s">
        <v>602</v>
      </c>
      <c r="B3" s="346"/>
      <c r="C3" s="346"/>
      <c r="D3" s="346"/>
      <c r="E3" s="346"/>
    </row>
    <row r="6" spans="1:5" x14ac:dyDescent="0.2">
      <c r="A6" s="335" t="s">
        <v>0</v>
      </c>
      <c r="B6" s="335" t="s">
        <v>1</v>
      </c>
      <c r="C6" s="335" t="s">
        <v>117</v>
      </c>
      <c r="D6" s="335"/>
      <c r="E6" s="335"/>
    </row>
    <row r="7" spans="1:5" x14ac:dyDescent="0.2">
      <c r="A7" s="335"/>
      <c r="B7" s="335"/>
      <c r="C7" s="18" t="s">
        <v>582</v>
      </c>
      <c r="D7" s="18" t="s">
        <v>614</v>
      </c>
      <c r="E7" s="18" t="s">
        <v>694</v>
      </c>
    </row>
    <row r="8" spans="1:5" ht="25.5" x14ac:dyDescent="0.2">
      <c r="A8" s="335"/>
      <c r="B8" s="335"/>
      <c r="C8" s="2" t="s">
        <v>79</v>
      </c>
      <c r="D8" s="2" t="s">
        <v>80</v>
      </c>
      <c r="E8" s="2" t="s">
        <v>81</v>
      </c>
    </row>
    <row r="9" spans="1:5" x14ac:dyDescent="0.2">
      <c r="A9" s="2">
        <v>1</v>
      </c>
      <c r="B9" s="2">
        <v>2</v>
      </c>
      <c r="C9" s="2">
        <v>3</v>
      </c>
      <c r="D9" s="2">
        <v>4</v>
      </c>
      <c r="E9" s="2">
        <v>5</v>
      </c>
    </row>
    <row r="10" spans="1:5" ht="38.25" x14ac:dyDescent="0.2">
      <c r="A10" s="6" t="s">
        <v>118</v>
      </c>
      <c r="B10" s="266" t="s">
        <v>629</v>
      </c>
      <c r="C10" s="5">
        <v>0</v>
      </c>
      <c r="D10" s="5">
        <v>0</v>
      </c>
      <c r="E10" s="5">
        <v>0</v>
      </c>
    </row>
    <row r="11" spans="1:5" ht="63.75" x14ac:dyDescent="0.2">
      <c r="A11" s="6" t="s">
        <v>119</v>
      </c>
      <c r="B11" s="266" t="s">
        <v>630</v>
      </c>
      <c r="C11" s="5">
        <v>0</v>
      </c>
      <c r="D11" s="5">
        <v>0</v>
      </c>
      <c r="E11" s="5">
        <v>0</v>
      </c>
    </row>
    <row r="12" spans="1:5" ht="25.5" x14ac:dyDescent="0.2">
      <c r="A12" s="90" t="s">
        <v>603</v>
      </c>
      <c r="B12" s="266" t="s">
        <v>631</v>
      </c>
      <c r="C12" s="70">
        <f>C21</f>
        <v>19529265</v>
      </c>
      <c r="D12" s="70">
        <f>D21</f>
        <v>18868401.469999999</v>
      </c>
      <c r="E12" s="70">
        <f>E21</f>
        <v>14094148.65</v>
      </c>
    </row>
    <row r="13" spans="1:5" x14ac:dyDescent="0.2">
      <c r="A13" s="6" t="s">
        <v>15</v>
      </c>
      <c r="B13" s="337" t="s">
        <v>641</v>
      </c>
      <c r="C13" s="46">
        <v>0</v>
      </c>
      <c r="D13" s="46">
        <v>0</v>
      </c>
      <c r="E13" s="46">
        <v>0</v>
      </c>
    </row>
    <row r="14" spans="1:5" x14ac:dyDescent="0.2">
      <c r="A14" s="6" t="s">
        <v>27</v>
      </c>
      <c r="B14" s="338"/>
      <c r="C14" s="50">
        <v>0</v>
      </c>
      <c r="D14" s="50">
        <v>0</v>
      </c>
      <c r="E14" s="50">
        <v>0</v>
      </c>
    </row>
    <row r="15" spans="1:5" x14ac:dyDescent="0.2">
      <c r="A15" s="15" t="s">
        <v>284</v>
      </c>
      <c r="B15" s="271"/>
      <c r="C15" s="76">
        <f>23260+6846+200000+13051+14354</f>
        <v>257511</v>
      </c>
      <c r="D15" s="70">
        <f>23260+6891+27080+14354</f>
        <v>71585</v>
      </c>
      <c r="E15" s="70">
        <f>23260+2117+27080+14354</f>
        <v>66811</v>
      </c>
    </row>
    <row r="16" spans="1:5" x14ac:dyDescent="0.2">
      <c r="A16" s="15" t="s">
        <v>285</v>
      </c>
      <c r="B16" s="271"/>
      <c r="C16" s="76">
        <f>4661540+5829860+651100+1983384+1290000</f>
        <v>14415884</v>
      </c>
      <c r="D16" s="70">
        <f>2799605+5829860+651100+1996433.27+2632000</f>
        <v>13908998.27</v>
      </c>
      <c r="E16" s="70">
        <f>2799605+5829860+651100+613284.17+2632000</f>
        <v>12525849.17</v>
      </c>
    </row>
    <row r="17" spans="1:9" x14ac:dyDescent="0.2">
      <c r="A17" s="15" t="s">
        <v>366</v>
      </c>
      <c r="B17" s="271"/>
      <c r="C17" s="76">
        <v>4855870</v>
      </c>
      <c r="D17" s="70">
        <v>4887818.2</v>
      </c>
      <c r="E17" s="70">
        <v>1501488.48</v>
      </c>
    </row>
    <row r="18" spans="1:9" ht="25.5" x14ac:dyDescent="0.2">
      <c r="A18" s="6" t="s">
        <v>28</v>
      </c>
      <c r="B18" s="266" t="s">
        <v>669</v>
      </c>
      <c r="C18" s="70">
        <v>0</v>
      </c>
      <c r="D18" s="70">
        <v>0</v>
      </c>
      <c r="E18" s="70">
        <v>0</v>
      </c>
    </row>
    <row r="19" spans="1:9" ht="38.25" x14ac:dyDescent="0.2">
      <c r="A19" s="6" t="s">
        <v>127</v>
      </c>
      <c r="B19" s="266" t="s">
        <v>642</v>
      </c>
      <c r="C19" s="70">
        <v>0</v>
      </c>
      <c r="D19" s="70">
        <v>0</v>
      </c>
      <c r="E19" s="70">
        <v>0</v>
      </c>
      <c r="I19" s="27"/>
    </row>
    <row r="20" spans="1:9" ht="63.75" x14ac:dyDescent="0.2">
      <c r="A20" s="6" t="s">
        <v>128</v>
      </c>
      <c r="B20" s="266" t="s">
        <v>643</v>
      </c>
      <c r="C20" s="70">
        <v>0</v>
      </c>
      <c r="D20" s="70">
        <v>0</v>
      </c>
      <c r="E20" s="70">
        <v>0</v>
      </c>
    </row>
    <row r="21" spans="1:9" ht="63.75" x14ac:dyDescent="0.2">
      <c r="A21" s="6" t="s">
        <v>149</v>
      </c>
      <c r="B21" s="266" t="s">
        <v>644</v>
      </c>
      <c r="C21" s="70">
        <f>C15+C16+C17</f>
        <v>19529265</v>
      </c>
      <c r="D21" s="70">
        <f>D15+D16+D17</f>
        <v>18868401.469999999</v>
      </c>
      <c r="E21" s="70">
        <f>E15+E16+E17</f>
        <v>14094148.65</v>
      </c>
    </row>
  </sheetData>
  <mergeCells count="6">
    <mergeCell ref="B13:B14"/>
    <mergeCell ref="A1:E1"/>
    <mergeCell ref="A3:E3"/>
    <mergeCell ref="A6:A8"/>
    <mergeCell ref="B6:B8"/>
    <mergeCell ref="C6:E6"/>
  </mergeCells>
  <phoneticPr fontId="12" type="noConversion"/>
  <pageMargins left="0.7" right="0.7" top="0.75" bottom="0.75" header="0.3" footer="0.3"/>
  <pageSetup paperSize="9" scale="7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11" zoomScaleNormal="100" workbookViewId="0">
      <selection activeCell="B18" sqref="B18"/>
    </sheetView>
  </sheetViews>
  <sheetFormatPr defaultRowHeight="12.75" x14ac:dyDescent="0.2"/>
  <cols>
    <col min="1" max="1" width="27.85546875" style="3" customWidth="1"/>
    <col min="2" max="2" width="9.140625" style="3"/>
    <col min="3" max="5" width="18.7109375" style="3" customWidth="1"/>
    <col min="6" max="16384" width="9.140625" style="3"/>
  </cols>
  <sheetData>
    <row r="1" spans="1:5" x14ac:dyDescent="0.2">
      <c r="A1" s="346" t="s">
        <v>172</v>
      </c>
      <c r="B1" s="346"/>
      <c r="C1" s="346"/>
      <c r="D1" s="346"/>
      <c r="E1" s="346"/>
    </row>
    <row r="2" spans="1:5" x14ac:dyDescent="0.2">
      <c r="A2" s="14"/>
      <c r="B2" s="14"/>
      <c r="C2" s="14"/>
      <c r="D2" s="14"/>
      <c r="E2" s="14"/>
    </row>
    <row r="3" spans="1:5" x14ac:dyDescent="0.2">
      <c r="A3" s="346" t="s">
        <v>173</v>
      </c>
      <c r="B3" s="346"/>
      <c r="C3" s="346"/>
      <c r="D3" s="346"/>
      <c r="E3" s="346"/>
    </row>
    <row r="5" spans="1:5" x14ac:dyDescent="0.2">
      <c r="A5" s="335" t="s">
        <v>0</v>
      </c>
      <c r="B5" s="335" t="s">
        <v>1</v>
      </c>
      <c r="C5" s="335" t="s">
        <v>117</v>
      </c>
      <c r="D5" s="335"/>
      <c r="E5" s="335"/>
    </row>
    <row r="6" spans="1:5" x14ac:dyDescent="0.2">
      <c r="A6" s="335"/>
      <c r="B6" s="335"/>
      <c r="C6" s="2" t="s">
        <v>4</v>
      </c>
      <c r="D6" s="2" t="s">
        <v>4</v>
      </c>
      <c r="E6" s="2" t="s">
        <v>4</v>
      </c>
    </row>
    <row r="7" spans="1:5" ht="25.5" x14ac:dyDescent="0.2">
      <c r="A7" s="335"/>
      <c r="B7" s="335"/>
      <c r="C7" s="2" t="s">
        <v>79</v>
      </c>
      <c r="D7" s="2" t="s">
        <v>80</v>
      </c>
      <c r="E7" s="2" t="s">
        <v>81</v>
      </c>
    </row>
    <row r="8" spans="1:5" x14ac:dyDescent="0.2">
      <c r="A8" s="2">
        <v>1</v>
      </c>
      <c r="B8" s="2">
        <v>2</v>
      </c>
      <c r="C8" s="2">
        <v>3</v>
      </c>
      <c r="D8" s="2">
        <v>4</v>
      </c>
      <c r="E8" s="2">
        <v>5</v>
      </c>
    </row>
    <row r="9" spans="1:5" ht="38.25" x14ac:dyDescent="0.2">
      <c r="A9" s="6" t="s">
        <v>118</v>
      </c>
      <c r="B9" s="266" t="s">
        <v>629</v>
      </c>
      <c r="C9" s="6"/>
      <c r="D9" s="6"/>
      <c r="E9" s="6"/>
    </row>
    <row r="10" spans="1:5" ht="63.75" x14ac:dyDescent="0.2">
      <c r="A10" s="6" t="s">
        <v>119</v>
      </c>
      <c r="B10" s="266" t="s">
        <v>630</v>
      </c>
      <c r="C10" s="6"/>
      <c r="D10" s="6"/>
      <c r="E10" s="6"/>
    </row>
    <row r="11" spans="1:5" ht="25.5" x14ac:dyDescent="0.2">
      <c r="A11" s="6" t="s">
        <v>169</v>
      </c>
      <c r="B11" s="266" t="s">
        <v>631</v>
      </c>
      <c r="C11" s="6"/>
      <c r="D11" s="6"/>
      <c r="E11" s="6"/>
    </row>
    <row r="12" spans="1:5" x14ac:dyDescent="0.2">
      <c r="A12" s="6" t="s">
        <v>15</v>
      </c>
      <c r="B12" s="337" t="s">
        <v>641</v>
      </c>
      <c r="C12" s="336"/>
      <c r="D12" s="336"/>
      <c r="E12" s="336"/>
    </row>
    <row r="13" spans="1:5" ht="25.5" x14ac:dyDescent="0.2">
      <c r="A13" s="6" t="s">
        <v>170</v>
      </c>
      <c r="B13" s="338"/>
      <c r="C13" s="336"/>
      <c r="D13" s="336"/>
      <c r="E13" s="336"/>
    </row>
    <row r="14" spans="1:5" ht="25.5" x14ac:dyDescent="0.2">
      <c r="A14" s="6" t="s">
        <v>171</v>
      </c>
      <c r="B14" s="266" t="s">
        <v>669</v>
      </c>
      <c r="C14" s="6"/>
      <c r="D14" s="6"/>
      <c r="E14" s="6"/>
    </row>
    <row r="15" spans="1:5" ht="38.25" x14ac:dyDescent="0.2">
      <c r="A15" s="6" t="s">
        <v>127</v>
      </c>
      <c r="B15" s="266" t="s">
        <v>642</v>
      </c>
      <c r="C15" s="6"/>
      <c r="D15" s="6"/>
      <c r="E15" s="6"/>
    </row>
    <row r="16" spans="1:5" ht="63.75" x14ac:dyDescent="0.2">
      <c r="A16" s="6" t="s">
        <v>128</v>
      </c>
      <c r="B16" s="266" t="s">
        <v>643</v>
      </c>
      <c r="C16" s="6"/>
      <c r="D16" s="6"/>
      <c r="E16" s="6"/>
    </row>
    <row r="17" spans="1:5" ht="63.75" x14ac:dyDescent="0.2">
      <c r="A17" s="6" t="s">
        <v>149</v>
      </c>
      <c r="B17" s="266" t="s">
        <v>644</v>
      </c>
      <c r="C17" s="6"/>
      <c r="D17" s="6"/>
      <c r="E17" s="6"/>
    </row>
  </sheetData>
  <mergeCells count="9">
    <mergeCell ref="B12:B13"/>
    <mergeCell ref="C12:C13"/>
    <mergeCell ref="D12:D13"/>
    <mergeCell ref="E12:E13"/>
    <mergeCell ref="A1:E1"/>
    <mergeCell ref="A3:E3"/>
    <mergeCell ref="A5:A7"/>
    <mergeCell ref="B5:B7"/>
    <mergeCell ref="C5:E5"/>
  </mergeCells>
  <phoneticPr fontId="12" type="noConversion"/>
  <pageMargins left="0.7" right="0.7" top="0.75" bottom="0.75" header="0.3" footer="0.3"/>
  <pageSetup paperSize="9" scale="93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E16"/>
  <sheetViews>
    <sheetView topLeftCell="A4" zoomScaleNormal="100" workbookViewId="0">
      <selection activeCell="C13" sqref="C13"/>
    </sheetView>
  </sheetViews>
  <sheetFormatPr defaultRowHeight="12.75" x14ac:dyDescent="0.2"/>
  <cols>
    <col min="1" max="1" width="32.28515625" style="3" customWidth="1"/>
    <col min="2" max="2" width="9.140625" style="3"/>
    <col min="3" max="5" width="21.42578125" style="3" customWidth="1"/>
    <col min="6" max="16384" width="9.140625" style="3"/>
  </cols>
  <sheetData>
    <row r="1" spans="1:5" x14ac:dyDescent="0.2">
      <c r="A1" s="340" t="s">
        <v>180</v>
      </c>
      <c r="B1" s="340"/>
      <c r="C1" s="340"/>
      <c r="D1" s="340"/>
      <c r="E1" s="340"/>
    </row>
    <row r="2" spans="1:5" x14ac:dyDescent="0.2">
      <c r="A2" s="13"/>
      <c r="B2" s="13"/>
      <c r="C2" s="13"/>
      <c r="D2" s="13"/>
      <c r="E2" s="13"/>
    </row>
    <row r="3" spans="1:5" ht="30.75" customHeight="1" x14ac:dyDescent="0.2">
      <c r="A3" s="340" t="s">
        <v>181</v>
      </c>
      <c r="B3" s="340"/>
      <c r="C3" s="340"/>
      <c r="D3" s="340"/>
      <c r="E3" s="340"/>
    </row>
    <row r="5" spans="1:5" x14ac:dyDescent="0.2">
      <c r="A5" s="335" t="s">
        <v>0</v>
      </c>
      <c r="B5" s="335" t="s">
        <v>1</v>
      </c>
      <c r="C5" s="335" t="s">
        <v>117</v>
      </c>
      <c r="D5" s="335"/>
      <c r="E5" s="335"/>
    </row>
    <row r="6" spans="1:5" x14ac:dyDescent="0.2">
      <c r="A6" s="335"/>
      <c r="B6" s="335"/>
      <c r="C6" s="174" t="s">
        <v>582</v>
      </c>
      <c r="D6" s="174" t="s">
        <v>614</v>
      </c>
      <c r="E6" s="174" t="s">
        <v>694</v>
      </c>
    </row>
    <row r="7" spans="1:5" ht="25.5" x14ac:dyDescent="0.2">
      <c r="A7" s="335"/>
      <c r="B7" s="335"/>
      <c r="C7" s="2" t="s">
        <v>79</v>
      </c>
      <c r="D7" s="2" t="s">
        <v>80</v>
      </c>
      <c r="E7" s="2" t="s">
        <v>81</v>
      </c>
    </row>
    <row r="8" spans="1:5" x14ac:dyDescent="0.2">
      <c r="A8" s="2">
        <v>1</v>
      </c>
      <c r="B8" s="2">
        <v>2</v>
      </c>
      <c r="C8" s="2">
        <v>3</v>
      </c>
      <c r="D8" s="2">
        <v>4</v>
      </c>
      <c r="E8" s="2">
        <v>5</v>
      </c>
    </row>
    <row r="9" spans="1:5" ht="38.25" x14ac:dyDescent="0.2">
      <c r="A9" s="6" t="s">
        <v>174</v>
      </c>
      <c r="B9" s="266" t="s">
        <v>629</v>
      </c>
      <c r="C9" s="38">
        <v>0</v>
      </c>
      <c r="D9" s="38">
        <v>0</v>
      </c>
      <c r="E9" s="38">
        <v>0</v>
      </c>
    </row>
    <row r="10" spans="1:5" ht="38.25" x14ac:dyDescent="0.2">
      <c r="A10" s="6" t="s">
        <v>175</v>
      </c>
      <c r="B10" s="266" t="s">
        <v>630</v>
      </c>
      <c r="C10" s="38">
        <v>0</v>
      </c>
      <c r="D10" s="38">
        <v>0</v>
      </c>
      <c r="E10" s="38">
        <v>0</v>
      </c>
    </row>
    <row r="11" spans="1:5" x14ac:dyDescent="0.2">
      <c r="A11" s="6" t="s">
        <v>176</v>
      </c>
      <c r="B11" s="266" t="s">
        <v>631</v>
      </c>
      <c r="C11" s="70">
        <f>C12+C13</f>
        <v>49524987.264799997</v>
      </c>
      <c r="D11" s="70">
        <f>D12+D13</f>
        <v>49523823.624799997</v>
      </c>
      <c r="E11" s="70">
        <f>E12+E13</f>
        <v>49523823.624799997</v>
      </c>
    </row>
    <row r="12" spans="1:5" x14ac:dyDescent="0.2">
      <c r="A12" s="15" t="s">
        <v>318</v>
      </c>
      <c r="B12" s="271"/>
      <c r="C12" s="208">
        <f>'3.6.3'!L20+'3.6.3'!L32+'3.6.3'!G40+'3.6.3'!L65+'3.6.3'!G82</f>
        <v>49523823.624799997</v>
      </c>
      <c r="D12" s="76">
        <f>'3.6.3'!L103+'3.6.3'!L115+'3.6.3'!G123+'3.6.3'!L148+'3.6.3'!G160</f>
        <v>49523823.624799997</v>
      </c>
      <c r="E12" s="70">
        <f>'3.6.3'!L181+'3.6.3'!L193+'3.6.3'!G200+'3.6.3'!L226+'3.6.3'!G238</f>
        <v>49523823.624799997</v>
      </c>
    </row>
    <row r="13" spans="1:5" ht="25.5" x14ac:dyDescent="0.2">
      <c r="A13" s="15" t="s">
        <v>319</v>
      </c>
      <c r="B13" s="271"/>
      <c r="C13" s="77">
        <f>'3.6.3'!E77</f>
        <v>1163.6399999999999</v>
      </c>
      <c r="D13" s="178">
        <v>0</v>
      </c>
      <c r="E13" s="178">
        <v>0</v>
      </c>
    </row>
    <row r="14" spans="1:5" ht="38.25" x14ac:dyDescent="0.2">
      <c r="A14" s="6" t="s">
        <v>177</v>
      </c>
      <c r="B14" s="266" t="s">
        <v>642</v>
      </c>
      <c r="C14" s="38">
        <v>0</v>
      </c>
      <c r="D14" s="38">
        <v>0</v>
      </c>
      <c r="E14" s="38">
        <v>0</v>
      </c>
    </row>
    <row r="15" spans="1:5" ht="38.25" x14ac:dyDescent="0.2">
      <c r="A15" s="6" t="s">
        <v>178</v>
      </c>
      <c r="B15" s="266" t="s">
        <v>643</v>
      </c>
      <c r="C15" s="38">
        <v>0</v>
      </c>
      <c r="D15" s="38">
        <v>0</v>
      </c>
      <c r="E15" s="38">
        <v>0</v>
      </c>
    </row>
    <row r="16" spans="1:5" ht="38.25" x14ac:dyDescent="0.2">
      <c r="A16" s="6" t="s">
        <v>179</v>
      </c>
      <c r="B16" s="266" t="s">
        <v>644</v>
      </c>
      <c r="C16" s="63">
        <f>C11</f>
        <v>49524987.264799997</v>
      </c>
      <c r="D16" s="63">
        <f>D11</f>
        <v>49523823.624799997</v>
      </c>
      <c r="E16" s="63">
        <f>E11</f>
        <v>49523823.624799997</v>
      </c>
    </row>
  </sheetData>
  <mergeCells count="5">
    <mergeCell ref="A5:A7"/>
    <mergeCell ref="B5:B7"/>
    <mergeCell ref="C5:E5"/>
    <mergeCell ref="A1:E1"/>
    <mergeCell ref="A3:E3"/>
  </mergeCells>
  <phoneticPr fontId="12" type="noConversion"/>
  <pageMargins left="0.7" right="0.7" top="0.75" bottom="0.75" header="0.3" footer="0.3"/>
  <pageSetup paperSize="9" scale="8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8"/>
  <sheetViews>
    <sheetView topLeftCell="A220" zoomScaleNormal="100" workbookViewId="0">
      <selection activeCell="E77" sqref="E77"/>
    </sheetView>
  </sheetViews>
  <sheetFormatPr defaultRowHeight="12.75" x14ac:dyDescent="0.2"/>
  <cols>
    <col min="1" max="1" width="19.85546875" style="3" customWidth="1"/>
    <col min="2" max="2" width="9.140625" style="3"/>
    <col min="3" max="3" width="13.42578125" style="3" customWidth="1"/>
    <col min="4" max="12" width="13" style="3" customWidth="1"/>
    <col min="13" max="13" width="13.5703125" style="3" customWidth="1"/>
    <col min="14" max="14" width="13.5703125" style="3" bestFit="1" customWidth="1"/>
    <col min="15" max="15" width="11.28515625" style="3" bestFit="1" customWidth="1"/>
    <col min="16" max="17" width="10.85546875" style="3" bestFit="1" customWidth="1"/>
    <col min="18" max="16384" width="9.140625" style="3"/>
  </cols>
  <sheetData>
    <row r="1" spans="1:17" ht="20.25" customHeight="1" x14ac:dyDescent="0.2">
      <c r="A1" s="340" t="s">
        <v>695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O1" s="284">
        <v>2023</v>
      </c>
      <c r="P1" s="284">
        <v>2024</v>
      </c>
      <c r="Q1" s="284">
        <v>2025</v>
      </c>
    </row>
    <row r="2" spans="1:17" x14ac:dyDescent="0.2">
      <c r="A2" s="3" t="s">
        <v>452</v>
      </c>
      <c r="O2" s="285">
        <f>L20+L32+G40+L65</f>
        <v>49514024.234799996</v>
      </c>
      <c r="P2" s="285">
        <f>L103+L115+G123+L148</f>
        <v>49514024.234799996</v>
      </c>
      <c r="Q2" s="285">
        <f>L181+L193+G200+L226</f>
        <v>49514024.234799996</v>
      </c>
    </row>
    <row r="3" spans="1:17" x14ac:dyDescent="0.2">
      <c r="A3" s="343" t="s">
        <v>182</v>
      </c>
      <c r="B3" s="343" t="s">
        <v>1</v>
      </c>
      <c r="C3" s="343" t="s">
        <v>183</v>
      </c>
      <c r="D3" s="343" t="s">
        <v>184</v>
      </c>
      <c r="E3" s="343"/>
      <c r="F3" s="343"/>
      <c r="G3" s="343"/>
      <c r="H3" s="343"/>
      <c r="I3" s="343"/>
      <c r="J3" s="343"/>
      <c r="K3" s="343"/>
      <c r="L3" s="343" t="s">
        <v>185</v>
      </c>
    </row>
    <row r="4" spans="1:17" x14ac:dyDescent="0.2">
      <c r="A4" s="343"/>
      <c r="B4" s="343"/>
      <c r="C4" s="343"/>
      <c r="D4" s="343" t="s">
        <v>186</v>
      </c>
      <c r="E4" s="343" t="s">
        <v>15</v>
      </c>
      <c r="F4" s="343"/>
      <c r="G4" s="343"/>
      <c r="H4" s="343"/>
      <c r="I4" s="343"/>
      <c r="J4" s="343"/>
      <c r="K4" s="343"/>
      <c r="L4" s="343"/>
    </row>
    <row r="5" spans="1:17" ht="33" customHeight="1" x14ac:dyDescent="0.2">
      <c r="A5" s="343"/>
      <c r="B5" s="343"/>
      <c r="C5" s="343"/>
      <c r="D5" s="343"/>
      <c r="E5" s="343" t="s">
        <v>187</v>
      </c>
      <c r="F5" s="343" t="s">
        <v>188</v>
      </c>
      <c r="G5" s="343" t="s">
        <v>189</v>
      </c>
      <c r="H5" s="343" t="s">
        <v>190</v>
      </c>
      <c r="I5" s="343"/>
      <c r="J5" s="343" t="s">
        <v>191</v>
      </c>
      <c r="K5" s="343"/>
      <c r="L5" s="343"/>
    </row>
    <row r="6" spans="1:17" ht="38.25" x14ac:dyDescent="0.2">
      <c r="A6" s="343"/>
      <c r="B6" s="343"/>
      <c r="C6" s="343"/>
      <c r="D6" s="343"/>
      <c r="E6" s="343"/>
      <c r="F6" s="343"/>
      <c r="G6" s="343"/>
      <c r="H6" s="289" t="s">
        <v>192</v>
      </c>
      <c r="I6" s="289" t="s">
        <v>193</v>
      </c>
      <c r="J6" s="289" t="s">
        <v>192</v>
      </c>
      <c r="K6" s="289" t="s">
        <v>194</v>
      </c>
      <c r="L6" s="343"/>
    </row>
    <row r="7" spans="1:17" x14ac:dyDescent="0.2">
      <c r="A7" s="289">
        <v>1</v>
      </c>
      <c r="B7" s="289">
        <v>2</v>
      </c>
      <c r="C7" s="289">
        <v>3</v>
      </c>
      <c r="D7" s="289">
        <v>4</v>
      </c>
      <c r="E7" s="289">
        <v>5</v>
      </c>
      <c r="F7" s="289">
        <v>6</v>
      </c>
      <c r="G7" s="289">
        <v>7</v>
      </c>
      <c r="H7" s="289">
        <v>8</v>
      </c>
      <c r="I7" s="289">
        <v>9</v>
      </c>
      <c r="J7" s="289">
        <v>10</v>
      </c>
      <c r="K7" s="289">
        <v>11</v>
      </c>
      <c r="L7" s="289">
        <v>12</v>
      </c>
    </row>
    <row r="8" spans="1:17" ht="25.5" x14ac:dyDescent="0.2">
      <c r="A8" s="90" t="s">
        <v>496</v>
      </c>
      <c r="B8" s="288" t="s">
        <v>645</v>
      </c>
      <c r="C8" s="90">
        <v>1</v>
      </c>
      <c r="D8" s="92">
        <f>E8+F8+G8+I8+K8</f>
        <v>17489.2</v>
      </c>
      <c r="E8" s="92">
        <v>9505</v>
      </c>
      <c r="F8" s="92"/>
      <c r="G8" s="92">
        <v>1425.75</v>
      </c>
      <c r="H8" s="90">
        <v>30</v>
      </c>
      <c r="I8" s="92">
        <f>(E8+F8+G8)*H8/100</f>
        <v>3279.2249999999999</v>
      </c>
      <c r="J8" s="90">
        <v>30</v>
      </c>
      <c r="K8" s="92">
        <f>(E8+F8+G8)*J8/100</f>
        <v>3279.2249999999999</v>
      </c>
      <c r="L8" s="92">
        <f>C8*D8*12</f>
        <v>209870.40000000002</v>
      </c>
    </row>
    <row r="9" spans="1:17" x14ac:dyDescent="0.2">
      <c r="A9" s="90" t="s">
        <v>498</v>
      </c>
      <c r="B9" s="288" t="s">
        <v>646</v>
      </c>
      <c r="C9" s="90">
        <v>3</v>
      </c>
      <c r="D9" s="92">
        <f>E9+F9+G9+I9+K9</f>
        <v>18060.64</v>
      </c>
      <c r="E9" s="92">
        <v>8683</v>
      </c>
      <c r="F9" s="92"/>
      <c r="G9" s="92">
        <v>2604.9</v>
      </c>
      <c r="H9" s="90">
        <v>30</v>
      </c>
      <c r="I9" s="92">
        <f>(E9+F9+G9)*H9/100</f>
        <v>3386.37</v>
      </c>
      <c r="J9" s="90">
        <v>30</v>
      </c>
      <c r="K9" s="92">
        <f>(E9+F9+G9)*J9/100</f>
        <v>3386.37</v>
      </c>
      <c r="L9" s="92">
        <f>C9*D9*12</f>
        <v>650183.04</v>
      </c>
    </row>
    <row r="10" spans="1:17" x14ac:dyDescent="0.2">
      <c r="A10" s="90" t="s">
        <v>497</v>
      </c>
      <c r="B10" s="288" t="s">
        <v>647</v>
      </c>
      <c r="C10" s="90">
        <v>1.5</v>
      </c>
      <c r="D10" s="92">
        <f t="shared" ref="D10:D17" si="0">E10+F10+G10+I10+K10</f>
        <v>14583.839999999998</v>
      </c>
      <c r="E10" s="92">
        <v>7926</v>
      </c>
      <c r="F10" s="92"/>
      <c r="G10" s="92">
        <v>1188.9000000000001</v>
      </c>
      <c r="H10" s="90">
        <v>30</v>
      </c>
      <c r="I10" s="92">
        <f t="shared" ref="I10:I17" si="1">(E10+F10+G10)*H10/100</f>
        <v>2734.47</v>
      </c>
      <c r="J10" s="90">
        <v>30</v>
      </c>
      <c r="K10" s="92">
        <f t="shared" ref="K10:K19" si="2">(E10+F10+G10)*J10/100</f>
        <v>2734.47</v>
      </c>
      <c r="L10" s="92">
        <f t="shared" ref="L10:L12" si="3">C10*D10*12</f>
        <v>262509.12</v>
      </c>
    </row>
    <row r="11" spans="1:17" x14ac:dyDescent="0.2">
      <c r="A11" s="90" t="s">
        <v>286</v>
      </c>
      <c r="B11" s="288" t="s">
        <v>648</v>
      </c>
      <c r="C11" s="90">
        <v>3</v>
      </c>
      <c r="D11" s="92">
        <f t="shared" si="0"/>
        <v>19770.400000000001</v>
      </c>
      <c r="E11" s="92">
        <v>9505</v>
      </c>
      <c r="F11" s="92"/>
      <c r="G11" s="92">
        <v>2851.5</v>
      </c>
      <c r="H11" s="90">
        <v>30</v>
      </c>
      <c r="I11" s="92">
        <f t="shared" si="1"/>
        <v>3706.95</v>
      </c>
      <c r="J11" s="90">
        <v>30</v>
      </c>
      <c r="K11" s="92">
        <f t="shared" si="2"/>
        <v>3706.95</v>
      </c>
      <c r="L11" s="92">
        <f t="shared" si="3"/>
        <v>711734.4</v>
      </c>
    </row>
    <row r="12" spans="1:17" x14ac:dyDescent="0.2">
      <c r="A12" s="90" t="s">
        <v>287</v>
      </c>
      <c r="B12" s="288" t="s">
        <v>649</v>
      </c>
      <c r="C12" s="90">
        <v>1.5</v>
      </c>
      <c r="D12" s="92">
        <f t="shared" si="0"/>
        <v>21291.199999999997</v>
      </c>
      <c r="E12" s="92">
        <v>9505</v>
      </c>
      <c r="F12" s="92"/>
      <c r="G12" s="92">
        <v>3802</v>
      </c>
      <c r="H12" s="90">
        <v>30</v>
      </c>
      <c r="I12" s="92">
        <f t="shared" si="1"/>
        <v>3992.1</v>
      </c>
      <c r="J12" s="90">
        <v>30</v>
      </c>
      <c r="K12" s="92">
        <f t="shared" si="2"/>
        <v>3992.1</v>
      </c>
      <c r="L12" s="92">
        <f t="shared" si="3"/>
        <v>383241.6</v>
      </c>
    </row>
    <row r="13" spans="1:17" x14ac:dyDescent="0.2">
      <c r="A13" s="90" t="s">
        <v>288</v>
      </c>
      <c r="B13" s="288" t="s">
        <v>650</v>
      </c>
      <c r="C13" s="90">
        <v>9.2799999999999994</v>
      </c>
      <c r="D13" s="92">
        <f t="shared" si="0"/>
        <v>20018.400000000001</v>
      </c>
      <c r="E13" s="92">
        <v>8341</v>
      </c>
      <c r="F13" s="92">
        <v>1668.2</v>
      </c>
      <c r="G13" s="92">
        <v>2502.3000000000002</v>
      </c>
      <c r="H13" s="90">
        <v>30</v>
      </c>
      <c r="I13" s="92">
        <f t="shared" si="1"/>
        <v>3753.45</v>
      </c>
      <c r="J13" s="90">
        <v>30</v>
      </c>
      <c r="K13" s="92">
        <f>(E13+F13+G13)*J13/100</f>
        <v>3753.45</v>
      </c>
      <c r="L13" s="92">
        <f>C13*D13*12+42000</f>
        <v>2271249.0240000002</v>
      </c>
    </row>
    <row r="14" spans="1:17" x14ac:dyDescent="0.2">
      <c r="A14" s="90" t="s">
        <v>289</v>
      </c>
      <c r="B14" s="288" t="s">
        <v>652</v>
      </c>
      <c r="C14" s="90">
        <v>84.83</v>
      </c>
      <c r="D14" s="92">
        <f t="shared" si="0"/>
        <v>25093.199999999997</v>
      </c>
      <c r="E14" s="92">
        <v>9505</v>
      </c>
      <c r="F14" s="92">
        <v>1425.75</v>
      </c>
      <c r="G14" s="92">
        <v>4752.5</v>
      </c>
      <c r="H14" s="90">
        <v>30</v>
      </c>
      <c r="I14" s="92">
        <f t="shared" si="1"/>
        <v>4704.9750000000004</v>
      </c>
      <c r="J14" s="90">
        <v>30</v>
      </c>
      <c r="K14" s="92">
        <f>(E14+F14+G14)*J14/100</f>
        <v>4704.9750000000004</v>
      </c>
      <c r="L14" s="92">
        <f>C14*D14*12+270000</f>
        <v>25813873.871999994</v>
      </c>
    </row>
    <row r="15" spans="1:17" x14ac:dyDescent="0.2">
      <c r="A15" s="90" t="s">
        <v>687</v>
      </c>
      <c r="B15" s="288" t="s">
        <v>651</v>
      </c>
      <c r="C15" s="90">
        <v>0.3</v>
      </c>
      <c r="D15" s="92">
        <f>E15+F15+G15+I15+K15</f>
        <v>17489.2</v>
      </c>
      <c r="E15" s="92">
        <v>9505</v>
      </c>
      <c r="F15" s="92"/>
      <c r="G15" s="92">
        <v>1425.75</v>
      </c>
      <c r="H15" s="90">
        <v>30</v>
      </c>
      <c r="I15" s="92">
        <f t="shared" si="1"/>
        <v>3279.2249999999999</v>
      </c>
      <c r="J15" s="90">
        <v>30</v>
      </c>
      <c r="K15" s="92">
        <f>(E15+F15+G15)*J15/100</f>
        <v>3279.2249999999999</v>
      </c>
      <c r="L15" s="92">
        <f>C15*D15*12</f>
        <v>62961.120000000003</v>
      </c>
    </row>
    <row r="16" spans="1:17" x14ac:dyDescent="0.2">
      <c r="A16" s="90" t="s">
        <v>290</v>
      </c>
      <c r="B16" s="288" t="s">
        <v>653</v>
      </c>
      <c r="C16" s="90">
        <v>1</v>
      </c>
      <c r="D16" s="92">
        <f t="shared" si="0"/>
        <v>13315.679999999997</v>
      </c>
      <c r="E16" s="92">
        <v>7926</v>
      </c>
      <c r="F16" s="92"/>
      <c r="G16" s="92">
        <v>396.3</v>
      </c>
      <c r="H16" s="90">
        <v>30</v>
      </c>
      <c r="I16" s="92">
        <f t="shared" si="1"/>
        <v>2496.6899999999996</v>
      </c>
      <c r="J16" s="90">
        <v>30</v>
      </c>
      <c r="K16" s="92">
        <f t="shared" si="2"/>
        <v>2496.6899999999996</v>
      </c>
      <c r="L16" s="92">
        <f>C16*D16*12</f>
        <v>159788.15999999997</v>
      </c>
    </row>
    <row r="17" spans="1:14" x14ac:dyDescent="0.2">
      <c r="A17" s="90" t="s">
        <v>615</v>
      </c>
      <c r="B17" s="288" t="s">
        <v>654</v>
      </c>
      <c r="C17" s="90">
        <v>1</v>
      </c>
      <c r="D17" s="92">
        <f t="shared" si="0"/>
        <v>14587.44</v>
      </c>
      <c r="E17" s="92">
        <v>8683</v>
      </c>
      <c r="F17" s="92"/>
      <c r="G17" s="92">
        <v>434.15</v>
      </c>
      <c r="H17" s="90">
        <v>30</v>
      </c>
      <c r="I17" s="92">
        <f t="shared" si="1"/>
        <v>2735.145</v>
      </c>
      <c r="J17" s="90">
        <v>30</v>
      </c>
      <c r="K17" s="92">
        <f t="shared" si="2"/>
        <v>2735.145</v>
      </c>
      <c r="L17" s="92">
        <f>C17*D17*12</f>
        <v>175049.28</v>
      </c>
    </row>
    <row r="18" spans="1:14" ht="25.5" x14ac:dyDescent="0.2">
      <c r="A18" s="90" t="s">
        <v>292</v>
      </c>
      <c r="B18" s="288" t="s">
        <v>655</v>
      </c>
      <c r="C18" s="90"/>
      <c r="D18" s="92">
        <f>E18+F18+G18+I18+K18</f>
        <v>412982.46399999998</v>
      </c>
      <c r="E18" s="92"/>
      <c r="F18" s="92"/>
      <c r="G18" s="92">
        <v>258114.04</v>
      </c>
      <c r="H18" s="90">
        <v>30</v>
      </c>
      <c r="I18" s="92">
        <f>(E18+F18+G18)*H18/100</f>
        <v>77434.212</v>
      </c>
      <c r="J18" s="90">
        <v>30</v>
      </c>
      <c r="K18" s="92">
        <f t="shared" si="2"/>
        <v>77434.212</v>
      </c>
      <c r="L18" s="92">
        <f>D18*12</f>
        <v>4955789.568</v>
      </c>
    </row>
    <row r="19" spans="1:14" x14ac:dyDescent="0.2">
      <c r="A19" s="90" t="s">
        <v>300</v>
      </c>
      <c r="B19" s="288" t="s">
        <v>656</v>
      </c>
      <c r="C19" s="90"/>
      <c r="D19" s="92">
        <f>E19+F19+G19+I19+K19</f>
        <v>176425.12</v>
      </c>
      <c r="E19" s="92"/>
      <c r="F19" s="92"/>
      <c r="G19" s="92">
        <v>110265.7</v>
      </c>
      <c r="H19" s="90">
        <v>30</v>
      </c>
      <c r="I19" s="92">
        <f>(E19+F19+G19)*H19/100</f>
        <v>33079.71</v>
      </c>
      <c r="J19" s="90">
        <v>30</v>
      </c>
      <c r="K19" s="92">
        <f t="shared" si="2"/>
        <v>33079.71</v>
      </c>
      <c r="L19" s="92">
        <f>D19*12</f>
        <v>2117101.44</v>
      </c>
    </row>
    <row r="20" spans="1:14" x14ac:dyDescent="0.2">
      <c r="A20" s="90" t="s">
        <v>137</v>
      </c>
      <c r="B20" s="289">
        <v>9000</v>
      </c>
      <c r="C20" s="250">
        <f>C8+C9+C10+C11+C12+C13+C14+C15+C16+C17</f>
        <v>106.41</v>
      </c>
      <c r="D20" s="92">
        <f>SUM(D8:D18)</f>
        <v>594681.66399999999</v>
      </c>
      <c r="E20" s="92">
        <f>SUM(E8:E18)</f>
        <v>89084</v>
      </c>
      <c r="F20" s="92">
        <f>SUM(F8:F18)</f>
        <v>3093.95</v>
      </c>
      <c r="G20" s="92">
        <f>SUM(G8:G18)+G19</f>
        <v>389763.79000000004</v>
      </c>
      <c r="H20" s="92"/>
      <c r="I20" s="92">
        <f>SUM(I8:I18)+I19</f>
        <v>144582.522</v>
      </c>
      <c r="J20" s="92"/>
      <c r="K20" s="92">
        <f>SUM(K8:K18)+K19</f>
        <v>144582.522</v>
      </c>
      <c r="L20" s="92">
        <f>SUM(L8:L19)-0.02</f>
        <v>37773351.003999986</v>
      </c>
      <c r="M20" s="104"/>
      <c r="N20" s="283">
        <v>37773351</v>
      </c>
    </row>
    <row r="21" spans="1:14" x14ac:dyDescent="0.2">
      <c r="M21" s="122"/>
      <c r="N21" s="122"/>
    </row>
    <row r="22" spans="1:14" x14ac:dyDescent="0.2">
      <c r="A22" s="3" t="s">
        <v>453</v>
      </c>
    </row>
    <row r="23" spans="1:14" x14ac:dyDescent="0.2">
      <c r="A23" s="343" t="s">
        <v>182</v>
      </c>
      <c r="B23" s="343" t="s">
        <v>1</v>
      </c>
      <c r="C23" s="343" t="s">
        <v>183</v>
      </c>
      <c r="D23" s="343" t="s">
        <v>184</v>
      </c>
      <c r="E23" s="343"/>
      <c r="F23" s="343"/>
      <c r="G23" s="343"/>
      <c r="H23" s="343"/>
      <c r="I23" s="343"/>
      <c r="J23" s="343"/>
      <c r="K23" s="343"/>
      <c r="L23" s="343" t="s">
        <v>185</v>
      </c>
    </row>
    <row r="24" spans="1:14" x14ac:dyDescent="0.2">
      <c r="A24" s="343"/>
      <c r="B24" s="343"/>
      <c r="C24" s="343"/>
      <c r="D24" s="343" t="s">
        <v>186</v>
      </c>
      <c r="E24" s="343" t="s">
        <v>15</v>
      </c>
      <c r="F24" s="343"/>
      <c r="G24" s="343"/>
      <c r="H24" s="343"/>
      <c r="I24" s="343"/>
      <c r="J24" s="343"/>
      <c r="K24" s="343"/>
      <c r="L24" s="343"/>
    </row>
    <row r="25" spans="1:14" x14ac:dyDescent="0.2">
      <c r="A25" s="343"/>
      <c r="B25" s="343"/>
      <c r="C25" s="343"/>
      <c r="D25" s="343"/>
      <c r="E25" s="343" t="s">
        <v>187</v>
      </c>
      <c r="F25" s="343" t="s">
        <v>188</v>
      </c>
      <c r="G25" s="343" t="s">
        <v>189</v>
      </c>
      <c r="H25" s="343" t="s">
        <v>190</v>
      </c>
      <c r="I25" s="343"/>
      <c r="J25" s="343" t="s">
        <v>191</v>
      </c>
      <c r="K25" s="343"/>
      <c r="L25" s="343"/>
    </row>
    <row r="26" spans="1:14" ht="38.25" x14ac:dyDescent="0.2">
      <c r="A26" s="343"/>
      <c r="B26" s="343"/>
      <c r="C26" s="343"/>
      <c r="D26" s="343"/>
      <c r="E26" s="343"/>
      <c r="F26" s="343"/>
      <c r="G26" s="343"/>
      <c r="H26" s="289" t="s">
        <v>192</v>
      </c>
      <c r="I26" s="289" t="s">
        <v>193</v>
      </c>
      <c r="J26" s="289" t="s">
        <v>192</v>
      </c>
      <c r="K26" s="289" t="s">
        <v>194</v>
      </c>
      <c r="L26" s="343"/>
    </row>
    <row r="27" spans="1:14" x14ac:dyDescent="0.2">
      <c r="A27" s="289">
        <v>1</v>
      </c>
      <c r="B27" s="289">
        <v>2</v>
      </c>
      <c r="C27" s="289">
        <v>3</v>
      </c>
      <c r="D27" s="289">
        <v>4</v>
      </c>
      <c r="E27" s="289">
        <v>5</v>
      </c>
      <c r="F27" s="289">
        <v>6</v>
      </c>
      <c r="G27" s="289">
        <v>7</v>
      </c>
      <c r="H27" s="289">
        <v>8</v>
      </c>
      <c r="I27" s="289">
        <v>9</v>
      </c>
      <c r="J27" s="289">
        <v>10</v>
      </c>
      <c r="K27" s="289">
        <v>11</v>
      </c>
      <c r="L27" s="289">
        <v>12</v>
      </c>
    </row>
    <row r="28" spans="1:14" ht="25.5" x14ac:dyDescent="0.2">
      <c r="A28" s="90" t="s">
        <v>293</v>
      </c>
      <c r="B28" s="288" t="s">
        <v>645</v>
      </c>
      <c r="C28" s="90">
        <v>0.75</v>
      </c>
      <c r="D28" s="92">
        <f>E28+F28+G28+I28+K28</f>
        <v>13918</v>
      </c>
      <c r="E28" s="92">
        <v>6959</v>
      </c>
      <c r="F28" s="92"/>
      <c r="G28" s="92">
        <v>1739.75</v>
      </c>
      <c r="H28" s="90">
        <v>30</v>
      </c>
      <c r="I28" s="92">
        <f>(E28+F28+G28)*H28/100</f>
        <v>2609.625</v>
      </c>
      <c r="J28" s="90">
        <v>30</v>
      </c>
      <c r="K28" s="92">
        <f>(E28+F28+G28)*J28/100</f>
        <v>2609.625</v>
      </c>
      <c r="L28" s="92">
        <f>D28*C28*12</f>
        <v>125262</v>
      </c>
    </row>
    <row r="29" spans="1:14" ht="25.5" x14ac:dyDescent="0.2">
      <c r="A29" s="90" t="s">
        <v>293</v>
      </c>
      <c r="B29" s="288" t="s">
        <v>646</v>
      </c>
      <c r="C29" s="90">
        <v>4</v>
      </c>
      <c r="D29" s="92">
        <f>E29+F29+G29+I29+K29</f>
        <v>15852</v>
      </c>
      <c r="E29" s="92">
        <v>7926</v>
      </c>
      <c r="F29" s="92"/>
      <c r="G29" s="92">
        <v>1981.5</v>
      </c>
      <c r="H29" s="90">
        <v>30</v>
      </c>
      <c r="I29" s="92">
        <f>(E29+F29+G29)*H29/100</f>
        <v>2972.25</v>
      </c>
      <c r="J29" s="90">
        <v>30</v>
      </c>
      <c r="K29" s="92">
        <f>(E29+F29+G29)*J29/100</f>
        <v>2972.25</v>
      </c>
      <c r="L29" s="92">
        <f>C29*D29*12</f>
        <v>760896</v>
      </c>
    </row>
    <row r="30" spans="1:14" x14ac:dyDescent="0.2">
      <c r="A30" s="90" t="s">
        <v>606</v>
      </c>
      <c r="B30" s="288" t="s">
        <v>647</v>
      </c>
      <c r="C30" s="90"/>
      <c r="D30" s="92">
        <f>E30+F30+G30+I30+K30</f>
        <v>0</v>
      </c>
      <c r="E30" s="92"/>
      <c r="F30" s="92"/>
      <c r="G30" s="92"/>
      <c r="H30" s="90">
        <v>30</v>
      </c>
      <c r="I30" s="92">
        <f>(E30+F30+G30)*H30/100</f>
        <v>0</v>
      </c>
      <c r="J30" s="90">
        <v>30</v>
      </c>
      <c r="K30" s="92">
        <f>(E30+F30+G30)*J30/100</f>
        <v>0</v>
      </c>
      <c r="L30" s="92">
        <f>D30*12</f>
        <v>0</v>
      </c>
    </row>
    <row r="31" spans="1:14" x14ac:dyDescent="0.2">
      <c r="A31" s="90" t="s">
        <v>300</v>
      </c>
      <c r="B31" s="288" t="s">
        <v>648</v>
      </c>
      <c r="C31" s="90"/>
      <c r="D31" s="92">
        <f>E31+F31+G31+I31+K31</f>
        <v>37861.750400000004</v>
      </c>
      <c r="E31" s="92"/>
      <c r="F31" s="92"/>
      <c r="G31" s="92">
        <v>23663.594000000001</v>
      </c>
      <c r="H31" s="90">
        <v>30</v>
      </c>
      <c r="I31" s="92">
        <f>(E31+F31+G31)*H31/100</f>
        <v>7099.0782000000008</v>
      </c>
      <c r="J31" s="90">
        <v>30</v>
      </c>
      <c r="K31" s="92">
        <f>(E31+F31+G31)*J31/100</f>
        <v>7099.0782000000008</v>
      </c>
      <c r="L31" s="92">
        <f>D31*12</f>
        <v>454341.00480000005</v>
      </c>
    </row>
    <row r="32" spans="1:14" x14ac:dyDescent="0.2">
      <c r="A32" s="90" t="s">
        <v>137</v>
      </c>
      <c r="B32" s="289">
        <v>9000</v>
      </c>
      <c r="C32" s="250">
        <f>+C29+C28</f>
        <v>4.75</v>
      </c>
      <c r="D32" s="92">
        <f>SUM(D28:D31)</f>
        <v>67631.750400000004</v>
      </c>
      <c r="E32" s="92">
        <f>SUM(E28:E31)</f>
        <v>14885</v>
      </c>
      <c r="F32" s="92">
        <f>SUM(F28:F31)</f>
        <v>0</v>
      </c>
      <c r="G32" s="92">
        <f>SUM(G28:G31)</f>
        <v>27384.844000000001</v>
      </c>
      <c r="H32" s="92"/>
      <c r="I32" s="92">
        <f>SUM(I28:I31)</f>
        <v>12680.9532</v>
      </c>
      <c r="J32" s="92"/>
      <c r="K32" s="92">
        <f>SUM(K28:K31)</f>
        <v>12680.9532</v>
      </c>
      <c r="L32" s="92">
        <f>SUM(L28:L31)+0.23</f>
        <v>1340499.2348</v>
      </c>
      <c r="M32" s="104"/>
      <c r="N32" s="283">
        <v>1340499</v>
      </c>
    </row>
    <row r="33" spans="1:14" hidden="1" x14ac:dyDescent="0.2">
      <c r="A33" s="243"/>
      <c r="B33" s="254"/>
      <c r="C33" s="255"/>
      <c r="D33" s="94"/>
      <c r="E33" s="94"/>
      <c r="F33" s="94"/>
      <c r="G33" s="94"/>
      <c r="H33" s="94"/>
      <c r="I33" s="94"/>
      <c r="J33" s="94"/>
      <c r="K33" s="94"/>
      <c r="L33" s="94"/>
      <c r="M33" s="104"/>
      <c r="N33" s="122"/>
    </row>
    <row r="34" spans="1:14" ht="15" hidden="1" customHeight="1" x14ac:dyDescent="0.2">
      <c r="A34" s="347" t="s">
        <v>597</v>
      </c>
      <c r="B34" s="347"/>
      <c r="C34" s="347"/>
      <c r="D34" s="347"/>
      <c r="E34" s="94"/>
      <c r="F34" s="94"/>
      <c r="G34" s="94"/>
      <c r="H34" s="94"/>
      <c r="I34" s="94"/>
      <c r="J34" s="94"/>
      <c r="K34" s="94"/>
      <c r="L34" s="94"/>
    </row>
    <row r="35" spans="1:14" ht="65.25" hidden="1" customHeight="1" x14ac:dyDescent="0.2">
      <c r="A35" s="289" t="s">
        <v>182</v>
      </c>
      <c r="B35" s="289" t="s">
        <v>1</v>
      </c>
      <c r="C35" s="289" t="s">
        <v>183</v>
      </c>
      <c r="D35" s="92" t="s">
        <v>468</v>
      </c>
      <c r="E35" s="93" t="s">
        <v>469</v>
      </c>
      <c r="F35" s="93" t="s">
        <v>470</v>
      </c>
      <c r="G35" s="92" t="s">
        <v>472</v>
      </c>
      <c r="H35" s="94"/>
      <c r="I35" s="94"/>
      <c r="J35" s="94"/>
      <c r="K35" s="94"/>
      <c r="L35" s="94"/>
    </row>
    <row r="36" spans="1:14" ht="13.5" hidden="1" customHeight="1" x14ac:dyDescent="0.2">
      <c r="A36" s="289">
        <v>1</v>
      </c>
      <c r="B36" s="289">
        <v>2</v>
      </c>
      <c r="C36" s="289">
        <v>3</v>
      </c>
      <c r="D36" s="251">
        <v>4</v>
      </c>
      <c r="E36" s="251">
        <v>5</v>
      </c>
      <c r="F36" s="251">
        <v>6</v>
      </c>
      <c r="G36" s="251">
        <v>7</v>
      </c>
      <c r="H36" s="252"/>
      <c r="I36" s="94"/>
      <c r="J36" s="94"/>
      <c r="K36" s="94"/>
      <c r="L36" s="94"/>
    </row>
    <row r="37" spans="1:14" hidden="1" x14ac:dyDescent="0.2">
      <c r="A37" s="90" t="s">
        <v>288</v>
      </c>
      <c r="B37" s="288" t="s">
        <v>645</v>
      </c>
      <c r="C37" s="289"/>
      <c r="D37" s="253">
        <v>12</v>
      </c>
      <c r="E37" s="253"/>
      <c r="F37" s="92">
        <v>7500</v>
      </c>
      <c r="G37" s="92"/>
      <c r="H37" s="94"/>
      <c r="I37" s="94"/>
      <c r="J37" s="94"/>
      <c r="K37" s="94"/>
      <c r="L37" s="94"/>
    </row>
    <row r="38" spans="1:14" hidden="1" x14ac:dyDescent="0.2">
      <c r="A38" s="90" t="s">
        <v>288</v>
      </c>
      <c r="B38" s="288" t="s">
        <v>646</v>
      </c>
      <c r="C38" s="289"/>
      <c r="D38" s="253">
        <v>12</v>
      </c>
      <c r="E38" s="253"/>
      <c r="F38" s="92">
        <v>7500</v>
      </c>
      <c r="G38" s="92"/>
      <c r="H38" s="94"/>
      <c r="I38" s="94"/>
      <c r="J38" s="94"/>
      <c r="K38" s="94"/>
      <c r="L38" s="94"/>
    </row>
    <row r="39" spans="1:14" hidden="1" x14ac:dyDescent="0.2">
      <c r="A39" s="90" t="s">
        <v>690</v>
      </c>
      <c r="B39" s="288" t="s">
        <v>647</v>
      </c>
      <c r="C39" s="289"/>
      <c r="D39" s="253">
        <v>4</v>
      </c>
      <c r="E39" s="253"/>
      <c r="F39" s="92">
        <v>24536.29</v>
      </c>
      <c r="G39" s="92"/>
      <c r="H39" s="94"/>
      <c r="I39" s="94"/>
      <c r="J39" s="94"/>
      <c r="K39" s="94"/>
      <c r="L39" s="94"/>
    </row>
    <row r="40" spans="1:14" hidden="1" x14ac:dyDescent="0.2">
      <c r="A40" s="90" t="s">
        <v>137</v>
      </c>
      <c r="B40" s="289">
        <v>9000</v>
      </c>
      <c r="C40" s="289">
        <f>C37+C38+C39</f>
        <v>0</v>
      </c>
      <c r="D40" s="92"/>
      <c r="E40" s="92"/>
      <c r="F40" s="92"/>
      <c r="G40" s="92">
        <f>SUM(G37:G38)+G39</f>
        <v>0</v>
      </c>
      <c r="H40" s="94"/>
      <c r="I40" s="94"/>
      <c r="J40" s="94"/>
      <c r="K40" s="94"/>
      <c r="L40" s="94"/>
      <c r="M40" s="104">
        <v>4482827.18</v>
      </c>
    </row>
    <row r="41" spans="1:14" x14ac:dyDescent="0.2">
      <c r="A41" s="243"/>
      <c r="B41" s="254"/>
      <c r="C41" s="254"/>
      <c r="D41" s="94"/>
      <c r="E41" s="94"/>
      <c r="F41" s="94"/>
      <c r="G41" s="94"/>
      <c r="H41" s="94"/>
      <c r="I41" s="94"/>
      <c r="J41" s="94"/>
      <c r="K41" s="94"/>
      <c r="L41" s="94"/>
      <c r="M41" s="104"/>
    </row>
    <row r="42" spans="1:14" x14ac:dyDescent="0.2">
      <c r="A42" s="3" t="s">
        <v>454</v>
      </c>
      <c r="M42" s="201" t="s">
        <v>583</v>
      </c>
    </row>
    <row r="43" spans="1:14" x14ac:dyDescent="0.2">
      <c r="A43" s="343" t="s">
        <v>182</v>
      </c>
      <c r="B43" s="343" t="s">
        <v>1</v>
      </c>
      <c r="C43" s="343" t="s">
        <v>183</v>
      </c>
      <c r="D43" s="343" t="s">
        <v>184</v>
      </c>
      <c r="E43" s="343"/>
      <c r="F43" s="343"/>
      <c r="G43" s="343"/>
      <c r="H43" s="343"/>
      <c r="I43" s="343"/>
      <c r="J43" s="343"/>
      <c r="K43" s="343"/>
      <c r="L43" s="343" t="s">
        <v>185</v>
      </c>
    </row>
    <row r="44" spans="1:14" x14ac:dyDescent="0.2">
      <c r="A44" s="343"/>
      <c r="B44" s="343"/>
      <c r="C44" s="343"/>
      <c r="D44" s="343" t="s">
        <v>186</v>
      </c>
      <c r="E44" s="343" t="s">
        <v>15</v>
      </c>
      <c r="F44" s="343"/>
      <c r="G44" s="343"/>
      <c r="H44" s="343"/>
      <c r="I44" s="343"/>
      <c r="J44" s="343"/>
      <c r="K44" s="343"/>
      <c r="L44" s="343"/>
    </row>
    <row r="45" spans="1:14" x14ac:dyDescent="0.2">
      <c r="A45" s="343"/>
      <c r="B45" s="343"/>
      <c r="C45" s="343"/>
      <c r="D45" s="343"/>
      <c r="E45" s="343" t="s">
        <v>187</v>
      </c>
      <c r="F45" s="343" t="s">
        <v>188</v>
      </c>
      <c r="G45" s="343" t="s">
        <v>189</v>
      </c>
      <c r="H45" s="343" t="s">
        <v>190</v>
      </c>
      <c r="I45" s="343"/>
      <c r="J45" s="343" t="s">
        <v>191</v>
      </c>
      <c r="K45" s="343"/>
      <c r="L45" s="343"/>
    </row>
    <row r="46" spans="1:14" ht="38.25" x14ac:dyDescent="0.2">
      <c r="A46" s="343"/>
      <c r="B46" s="343"/>
      <c r="C46" s="343"/>
      <c r="D46" s="343"/>
      <c r="E46" s="343"/>
      <c r="F46" s="343"/>
      <c r="G46" s="343"/>
      <c r="H46" s="289" t="s">
        <v>192</v>
      </c>
      <c r="I46" s="289" t="s">
        <v>193</v>
      </c>
      <c r="J46" s="289" t="s">
        <v>192</v>
      </c>
      <c r="K46" s="289" t="s">
        <v>194</v>
      </c>
      <c r="L46" s="343"/>
    </row>
    <row r="47" spans="1:14" x14ac:dyDescent="0.2">
      <c r="A47" s="289">
        <v>1</v>
      </c>
      <c r="B47" s="289">
        <v>2</v>
      </c>
      <c r="C47" s="289">
        <v>3</v>
      </c>
      <c r="D47" s="289">
        <v>4</v>
      </c>
      <c r="E47" s="289">
        <v>5</v>
      </c>
      <c r="F47" s="289">
        <v>6</v>
      </c>
      <c r="G47" s="289">
        <v>7</v>
      </c>
      <c r="H47" s="289">
        <v>8</v>
      </c>
      <c r="I47" s="289">
        <v>9</v>
      </c>
      <c r="J47" s="289">
        <v>10</v>
      </c>
      <c r="K47" s="289">
        <v>11</v>
      </c>
      <c r="L47" s="289">
        <v>12</v>
      </c>
    </row>
    <row r="48" spans="1:14" x14ac:dyDescent="0.2">
      <c r="A48" s="90" t="s">
        <v>405</v>
      </c>
      <c r="B48" s="288" t="s">
        <v>645</v>
      </c>
      <c r="C48" s="90">
        <v>1</v>
      </c>
      <c r="D48" s="92">
        <f>E48+F48+G48+I48+K48</f>
        <v>56342</v>
      </c>
      <c r="E48" s="92">
        <v>28171</v>
      </c>
      <c r="F48" s="92"/>
      <c r="G48" s="92">
        <v>7042.75</v>
      </c>
      <c r="H48" s="90">
        <v>30</v>
      </c>
      <c r="I48" s="92">
        <f>(E48+F48+G48)*H48/100</f>
        <v>10564.125</v>
      </c>
      <c r="J48" s="90">
        <v>30</v>
      </c>
      <c r="K48" s="92">
        <f>(E48+F48+G48)*J48/100</f>
        <v>10564.125</v>
      </c>
      <c r="L48" s="92">
        <f>D48*C48*12</f>
        <v>676104</v>
      </c>
    </row>
    <row r="49" spans="1:12" ht="25.5" x14ac:dyDescent="0.2">
      <c r="A49" s="90" t="s">
        <v>295</v>
      </c>
      <c r="B49" s="288" t="s">
        <v>646</v>
      </c>
      <c r="C49" s="90">
        <v>1</v>
      </c>
      <c r="D49" s="92">
        <f>E49+F49+G49+I49+K49</f>
        <v>39496</v>
      </c>
      <c r="E49" s="92">
        <v>19748</v>
      </c>
      <c r="F49" s="92"/>
      <c r="G49" s="92">
        <v>4937</v>
      </c>
      <c r="H49" s="90">
        <v>30</v>
      </c>
      <c r="I49" s="92">
        <f>(E49+F49+G49)*H49/100</f>
        <v>7405.5</v>
      </c>
      <c r="J49" s="90">
        <v>30</v>
      </c>
      <c r="K49" s="92">
        <f t="shared" ref="K49:K64" si="4">(E49+F49+G49)*J49/100</f>
        <v>7405.5</v>
      </c>
      <c r="L49" s="92">
        <f t="shared" ref="L49:L58" si="5">D49*C49*12</f>
        <v>473952</v>
      </c>
    </row>
    <row r="50" spans="1:12" ht="25.5" x14ac:dyDescent="0.2">
      <c r="A50" s="90" t="s">
        <v>294</v>
      </c>
      <c r="B50" s="288" t="s">
        <v>647</v>
      </c>
      <c r="C50" s="90">
        <v>2.5</v>
      </c>
      <c r="D50" s="92">
        <f>E50+F50+G50+I50+K50</f>
        <v>39496</v>
      </c>
      <c r="E50" s="92">
        <v>19748</v>
      </c>
      <c r="F50" s="92"/>
      <c r="G50" s="92">
        <v>4937</v>
      </c>
      <c r="H50" s="90">
        <v>30</v>
      </c>
      <c r="I50" s="92">
        <f t="shared" ref="I50:I62" si="6">(E50+F50+G50)*H50/100</f>
        <v>7405.5</v>
      </c>
      <c r="J50" s="90">
        <v>30</v>
      </c>
      <c r="K50" s="92">
        <f t="shared" si="4"/>
        <v>7405.5</v>
      </c>
      <c r="L50" s="92">
        <f>D50*C50*12</f>
        <v>1184880</v>
      </c>
    </row>
    <row r="51" spans="1:12" ht="38.25" x14ac:dyDescent="0.2">
      <c r="A51" s="90" t="s">
        <v>499</v>
      </c>
      <c r="B51" s="288" t="s">
        <v>648</v>
      </c>
      <c r="C51" s="90">
        <v>0.25</v>
      </c>
      <c r="D51" s="92">
        <f>E51+F51+G51+I51+K51</f>
        <v>33176.639999999999</v>
      </c>
      <c r="E51" s="92">
        <v>19748</v>
      </c>
      <c r="F51" s="92"/>
      <c r="G51" s="92">
        <v>987.4</v>
      </c>
      <c r="H51" s="90">
        <v>30</v>
      </c>
      <c r="I51" s="92">
        <f t="shared" si="6"/>
        <v>6220.62</v>
      </c>
      <c r="J51" s="90">
        <v>30</v>
      </c>
      <c r="K51" s="92">
        <f t="shared" si="4"/>
        <v>6220.62</v>
      </c>
      <c r="L51" s="92">
        <f t="shared" si="5"/>
        <v>99529.919999999998</v>
      </c>
    </row>
    <row r="52" spans="1:12" hidden="1" x14ac:dyDescent="0.2">
      <c r="A52" s="90" t="s">
        <v>296</v>
      </c>
      <c r="B52" s="288" t="s">
        <v>652</v>
      </c>
      <c r="C52" s="90"/>
      <c r="D52" s="92">
        <f t="shared" ref="D52:D57" si="7">E52+F52+G52+I52+K52</f>
        <v>0</v>
      </c>
      <c r="E52" s="92"/>
      <c r="F52" s="92"/>
      <c r="G52" s="92"/>
      <c r="H52" s="90">
        <v>30</v>
      </c>
      <c r="I52" s="92">
        <f t="shared" si="6"/>
        <v>0</v>
      </c>
      <c r="J52" s="90">
        <v>30</v>
      </c>
      <c r="K52" s="92">
        <f t="shared" si="4"/>
        <v>0</v>
      </c>
      <c r="L52" s="92">
        <f t="shared" si="5"/>
        <v>0</v>
      </c>
    </row>
    <row r="53" spans="1:12" x14ac:dyDescent="0.2">
      <c r="A53" s="90" t="s">
        <v>297</v>
      </c>
      <c r="B53" s="288" t="s">
        <v>649</v>
      </c>
      <c r="C53" s="90">
        <v>1</v>
      </c>
      <c r="D53" s="92">
        <f t="shared" si="7"/>
        <v>39496</v>
      </c>
      <c r="E53" s="92">
        <v>19748</v>
      </c>
      <c r="F53" s="92"/>
      <c r="G53" s="92">
        <v>4937</v>
      </c>
      <c r="H53" s="90">
        <v>30</v>
      </c>
      <c r="I53" s="92">
        <f t="shared" si="6"/>
        <v>7405.5</v>
      </c>
      <c r="J53" s="90">
        <v>30</v>
      </c>
      <c r="K53" s="92">
        <f t="shared" si="4"/>
        <v>7405.5</v>
      </c>
      <c r="L53" s="92">
        <f t="shared" si="5"/>
        <v>473952</v>
      </c>
    </row>
    <row r="54" spans="1:12" x14ac:dyDescent="0.2">
      <c r="A54" s="90" t="s">
        <v>401</v>
      </c>
      <c r="B54" s="288" t="s">
        <v>650</v>
      </c>
      <c r="C54" s="90">
        <v>1</v>
      </c>
      <c r="D54" s="92">
        <f t="shared" si="7"/>
        <v>9886</v>
      </c>
      <c r="E54" s="92">
        <v>4943</v>
      </c>
      <c r="F54" s="92"/>
      <c r="G54" s="92">
        <v>1235.75</v>
      </c>
      <c r="H54" s="90">
        <v>30</v>
      </c>
      <c r="I54" s="92">
        <f t="shared" si="6"/>
        <v>1853.625</v>
      </c>
      <c r="J54" s="90">
        <v>30</v>
      </c>
      <c r="K54" s="92">
        <f t="shared" si="4"/>
        <v>1853.625</v>
      </c>
      <c r="L54" s="92">
        <f t="shared" si="5"/>
        <v>118632</v>
      </c>
    </row>
    <row r="55" spans="1:12" ht="25.5" x14ac:dyDescent="0.2">
      <c r="A55" s="90" t="s">
        <v>402</v>
      </c>
      <c r="B55" s="288" t="s">
        <v>652</v>
      </c>
      <c r="C55" s="90">
        <v>1</v>
      </c>
      <c r="D55" s="92">
        <f t="shared" si="7"/>
        <v>7698</v>
      </c>
      <c r="E55" s="92">
        <v>3849</v>
      </c>
      <c r="F55" s="92"/>
      <c r="G55" s="92">
        <v>962.25</v>
      </c>
      <c r="H55" s="90">
        <v>30</v>
      </c>
      <c r="I55" s="92">
        <f t="shared" si="6"/>
        <v>1443.375</v>
      </c>
      <c r="J55" s="90">
        <v>30</v>
      </c>
      <c r="K55" s="92">
        <f t="shared" si="4"/>
        <v>1443.375</v>
      </c>
      <c r="L55" s="92">
        <f t="shared" si="5"/>
        <v>92376</v>
      </c>
    </row>
    <row r="56" spans="1:12" x14ac:dyDescent="0.2">
      <c r="A56" s="90" t="s">
        <v>298</v>
      </c>
      <c r="B56" s="288" t="s">
        <v>651</v>
      </c>
      <c r="C56" s="90">
        <v>1</v>
      </c>
      <c r="D56" s="92">
        <f t="shared" si="7"/>
        <v>8106</v>
      </c>
      <c r="E56" s="92">
        <v>4053</v>
      </c>
      <c r="F56" s="92"/>
      <c r="G56" s="92">
        <v>1013.25</v>
      </c>
      <c r="H56" s="90">
        <v>30</v>
      </c>
      <c r="I56" s="92">
        <f t="shared" si="6"/>
        <v>1519.875</v>
      </c>
      <c r="J56" s="90">
        <v>30</v>
      </c>
      <c r="K56" s="92">
        <f t="shared" si="4"/>
        <v>1519.875</v>
      </c>
      <c r="L56" s="92">
        <f t="shared" si="5"/>
        <v>97272</v>
      </c>
    </row>
    <row r="57" spans="1:12" ht="25.5" x14ac:dyDescent="0.2">
      <c r="A57" s="90" t="s">
        <v>554</v>
      </c>
      <c r="B57" s="288" t="s">
        <v>653</v>
      </c>
      <c r="C57" s="90">
        <v>1</v>
      </c>
      <c r="D57" s="92">
        <f t="shared" si="7"/>
        <v>39496</v>
      </c>
      <c r="E57" s="92">
        <v>19748</v>
      </c>
      <c r="F57" s="92"/>
      <c r="G57" s="92">
        <v>4937</v>
      </c>
      <c r="H57" s="90">
        <v>30</v>
      </c>
      <c r="I57" s="92">
        <f t="shared" si="6"/>
        <v>7405.5</v>
      </c>
      <c r="J57" s="90">
        <v>30</v>
      </c>
      <c r="K57" s="92">
        <f t="shared" si="4"/>
        <v>7405.5</v>
      </c>
      <c r="L57" s="92">
        <f t="shared" si="5"/>
        <v>473952</v>
      </c>
    </row>
    <row r="58" spans="1:12" x14ac:dyDescent="0.2">
      <c r="A58" s="90" t="s">
        <v>404</v>
      </c>
      <c r="B58" s="288" t="s">
        <v>654</v>
      </c>
      <c r="C58" s="90">
        <v>5.25</v>
      </c>
      <c r="D58" s="92">
        <f>E58+F58+G58+I58+K58</f>
        <v>8276.32</v>
      </c>
      <c r="E58" s="92">
        <v>4498</v>
      </c>
      <c r="F58" s="92"/>
      <c r="G58" s="92">
        <v>674.7</v>
      </c>
      <c r="H58" s="90">
        <v>30</v>
      </c>
      <c r="I58" s="92">
        <f t="shared" si="6"/>
        <v>1551.81</v>
      </c>
      <c r="J58" s="90">
        <v>30</v>
      </c>
      <c r="K58" s="92">
        <f t="shared" si="4"/>
        <v>1551.81</v>
      </c>
      <c r="L58" s="92">
        <f t="shared" si="5"/>
        <v>521408.16000000003</v>
      </c>
    </row>
    <row r="59" spans="1:12" x14ac:dyDescent="0.2">
      <c r="A59" s="90" t="s">
        <v>291</v>
      </c>
      <c r="B59" s="288" t="s">
        <v>655</v>
      </c>
      <c r="C59" s="90">
        <v>1.5</v>
      </c>
      <c r="D59" s="92">
        <f t="shared" ref="D59:D60" si="8">E59+F59+G59+I59+K59</f>
        <v>27374.400000000001</v>
      </c>
      <c r="E59" s="92">
        <v>9505</v>
      </c>
      <c r="F59" s="92"/>
      <c r="G59" s="92">
        <v>7604</v>
      </c>
      <c r="H59" s="90">
        <v>30</v>
      </c>
      <c r="I59" s="92">
        <f>(E59+F59+G59)*H59/100</f>
        <v>5132.7</v>
      </c>
      <c r="J59" s="90">
        <v>30</v>
      </c>
      <c r="K59" s="92">
        <f t="shared" si="4"/>
        <v>5132.7</v>
      </c>
      <c r="L59" s="92">
        <f>(D59*C59)*12</f>
        <v>492739.20000000007</v>
      </c>
    </row>
    <row r="60" spans="1:12" ht="25.5" x14ac:dyDescent="0.2">
      <c r="A60" s="90" t="s">
        <v>688</v>
      </c>
      <c r="B60" s="288" t="s">
        <v>656</v>
      </c>
      <c r="C60" s="90">
        <v>1</v>
      </c>
      <c r="D60" s="92">
        <f t="shared" si="8"/>
        <v>8106</v>
      </c>
      <c r="E60" s="92">
        <v>4053</v>
      </c>
      <c r="F60" s="92"/>
      <c r="G60" s="92">
        <v>1013.25</v>
      </c>
      <c r="H60" s="90">
        <v>30</v>
      </c>
      <c r="I60" s="92">
        <f>(E60+F60+G60)*H60/100</f>
        <v>1519.875</v>
      </c>
      <c r="J60" s="90">
        <v>30</v>
      </c>
      <c r="K60" s="92">
        <f t="shared" si="4"/>
        <v>1519.875</v>
      </c>
      <c r="L60" s="92">
        <f>(D60*C60)*12</f>
        <v>97272</v>
      </c>
    </row>
    <row r="61" spans="1:12" ht="25.5" x14ac:dyDescent="0.2">
      <c r="A61" s="90" t="s">
        <v>403</v>
      </c>
      <c r="B61" s="288" t="s">
        <v>657</v>
      </c>
      <c r="C61" s="90">
        <v>0.5</v>
      </c>
      <c r="D61" s="92">
        <f>E61+F61+G61+I61+K61</f>
        <v>8304.24</v>
      </c>
      <c r="E61" s="92">
        <v>4943</v>
      </c>
      <c r="F61" s="92"/>
      <c r="G61" s="92">
        <v>247.15</v>
      </c>
      <c r="H61" s="90">
        <v>30</v>
      </c>
      <c r="I61" s="92">
        <f t="shared" si="6"/>
        <v>1557.0450000000001</v>
      </c>
      <c r="J61" s="90">
        <v>30</v>
      </c>
      <c r="K61" s="92">
        <f t="shared" si="4"/>
        <v>1557.0450000000001</v>
      </c>
      <c r="L61" s="92">
        <f>D61*C61*12</f>
        <v>49825.440000000002</v>
      </c>
    </row>
    <row r="62" spans="1:12" ht="38.25" x14ac:dyDescent="0.2">
      <c r="A62" s="90" t="s">
        <v>616</v>
      </c>
      <c r="B62" s="288" t="s">
        <v>658</v>
      </c>
      <c r="C62" s="90"/>
      <c r="D62" s="92">
        <f>G62+I62+K62</f>
        <v>66436.607999999993</v>
      </c>
      <c r="E62" s="92"/>
      <c r="F62" s="92"/>
      <c r="G62" s="92">
        <v>41522.879999999997</v>
      </c>
      <c r="H62" s="90">
        <v>30</v>
      </c>
      <c r="I62" s="92">
        <f t="shared" si="6"/>
        <v>12456.864</v>
      </c>
      <c r="J62" s="90">
        <v>30</v>
      </c>
      <c r="K62" s="92">
        <f t="shared" si="4"/>
        <v>12456.864</v>
      </c>
      <c r="L62" s="92">
        <f>D62*12</f>
        <v>797239.29599999986</v>
      </c>
    </row>
    <row r="63" spans="1:12" ht="25.5" x14ac:dyDescent="0.2">
      <c r="A63" s="90" t="s">
        <v>299</v>
      </c>
      <c r="B63" s="288" t="s">
        <v>659</v>
      </c>
      <c r="C63" s="90"/>
      <c r="D63" s="92">
        <f>G63+I63+K63</f>
        <v>268317.16800000001</v>
      </c>
      <c r="E63" s="92"/>
      <c r="F63" s="92"/>
      <c r="G63" s="92">
        <v>167698.23000000001</v>
      </c>
      <c r="H63" s="90">
        <v>30</v>
      </c>
      <c r="I63" s="92">
        <f>(E63+F63+G63)*H63/100</f>
        <v>50309.469000000005</v>
      </c>
      <c r="J63" s="90">
        <v>30</v>
      </c>
      <c r="K63" s="92">
        <f t="shared" si="4"/>
        <v>50309.469000000005</v>
      </c>
      <c r="L63" s="92">
        <f>D63*12</f>
        <v>3219806.0159999998</v>
      </c>
    </row>
    <row r="64" spans="1:12" x14ac:dyDescent="0.2">
      <c r="A64" s="90" t="s">
        <v>300</v>
      </c>
      <c r="B64" s="288" t="s">
        <v>660</v>
      </c>
      <c r="C64" s="90"/>
      <c r="D64" s="92">
        <f>E64+F64+G64+I64+K64</f>
        <v>127602.83200000001</v>
      </c>
      <c r="E64" s="92"/>
      <c r="F64" s="92"/>
      <c r="G64" s="92">
        <v>79751.77</v>
      </c>
      <c r="H64" s="90">
        <v>30</v>
      </c>
      <c r="I64" s="92">
        <f>(E64+F64+G64)*H64/100</f>
        <v>23925.531000000003</v>
      </c>
      <c r="J64" s="90">
        <v>30</v>
      </c>
      <c r="K64" s="92">
        <f t="shared" si="4"/>
        <v>23925.531000000003</v>
      </c>
      <c r="L64" s="92">
        <f>D64*12</f>
        <v>1531233.9840000002</v>
      </c>
    </row>
    <row r="65" spans="1:15" x14ac:dyDescent="0.2">
      <c r="A65" s="90" t="s">
        <v>137</v>
      </c>
      <c r="B65" s="289">
        <v>9000</v>
      </c>
      <c r="C65" s="250">
        <f>SUM(C48:C64)</f>
        <v>18</v>
      </c>
      <c r="D65" s="92">
        <f>SUM(D48:D64)</f>
        <v>787610.2080000001</v>
      </c>
      <c r="E65" s="92">
        <f>SUM(E48:E64)</f>
        <v>162755</v>
      </c>
      <c r="F65" s="92">
        <f>SUM(F48:F64)</f>
        <v>0</v>
      </c>
      <c r="G65" s="92">
        <f>SUM(G48:G64)</f>
        <v>329501.38</v>
      </c>
      <c r="H65" s="92"/>
      <c r="I65" s="92">
        <f>SUM(I48:I64)</f>
        <v>147676.91399999999</v>
      </c>
      <c r="J65" s="92"/>
      <c r="K65" s="92">
        <f>SUM(K48:K64)</f>
        <v>147676.91399999999</v>
      </c>
      <c r="L65" s="92">
        <f>SUM(L48:L64)-0.02</f>
        <v>10400173.996000003</v>
      </c>
      <c r="M65" s="104"/>
      <c r="N65" s="283">
        <v>10400174</v>
      </c>
      <c r="O65" s="122"/>
    </row>
    <row r="67" spans="1:15" x14ac:dyDescent="0.2">
      <c r="A67" s="3" t="s">
        <v>345</v>
      </c>
    </row>
    <row r="68" spans="1:15" ht="77.25" customHeight="1" x14ac:dyDescent="0.2">
      <c r="A68" s="289" t="s">
        <v>0</v>
      </c>
      <c r="B68" s="289" t="s">
        <v>1</v>
      </c>
      <c r="C68" s="289" t="s">
        <v>600</v>
      </c>
      <c r="D68" s="289" t="s">
        <v>541</v>
      </c>
      <c r="E68" s="90" t="s">
        <v>542</v>
      </c>
    </row>
    <row r="69" spans="1:15" ht="24" customHeight="1" x14ac:dyDescent="0.2">
      <c r="A69" s="90" t="s">
        <v>599</v>
      </c>
      <c r="B69" s="288" t="s">
        <v>645</v>
      </c>
      <c r="C69" s="34">
        <v>96.97</v>
      </c>
      <c r="D69" s="29">
        <v>12</v>
      </c>
      <c r="E69" s="11">
        <f>C69*12</f>
        <v>1163.6399999999999</v>
      </c>
    </row>
    <row r="70" spans="1:15" ht="51" hidden="1" customHeight="1" x14ac:dyDescent="0.2">
      <c r="A70" s="90" t="s">
        <v>368</v>
      </c>
      <c r="B70" s="90">
        <v>2</v>
      </c>
      <c r="C70" s="34">
        <f>D70/9</f>
        <v>0</v>
      </c>
      <c r="D70" s="29"/>
      <c r="E70" s="11"/>
    </row>
    <row r="71" spans="1:15" ht="15.75" hidden="1" customHeight="1" x14ac:dyDescent="0.2">
      <c r="A71" s="90" t="s">
        <v>520</v>
      </c>
      <c r="B71" s="90">
        <v>1</v>
      </c>
      <c r="C71" s="34">
        <f>D71/5</f>
        <v>1</v>
      </c>
      <c r="D71" s="130">
        <v>5</v>
      </c>
      <c r="E71" s="55"/>
      <c r="H71" s="122"/>
    </row>
    <row r="72" spans="1:15" ht="51" hidden="1" customHeight="1" x14ac:dyDescent="0.2">
      <c r="A72" s="90" t="s">
        <v>521</v>
      </c>
      <c r="B72" s="90">
        <v>2</v>
      </c>
      <c r="C72" s="34">
        <f>D72/5</f>
        <v>1</v>
      </c>
      <c r="D72" s="130">
        <v>5</v>
      </c>
      <c r="E72" s="55"/>
      <c r="H72" s="122"/>
      <c r="I72" s="122"/>
    </row>
    <row r="73" spans="1:15" ht="26.25" hidden="1" customHeight="1" x14ac:dyDescent="0.2">
      <c r="A73" s="90" t="s">
        <v>367</v>
      </c>
      <c r="B73" s="90">
        <v>1</v>
      </c>
      <c r="C73" s="34">
        <v>1</v>
      </c>
      <c r="D73" s="130">
        <v>5</v>
      </c>
      <c r="E73" s="55"/>
      <c r="H73" s="122"/>
      <c r="I73" s="122"/>
    </row>
    <row r="74" spans="1:15" ht="26.25" hidden="1" customHeight="1" x14ac:dyDescent="0.2">
      <c r="A74" s="90" t="s">
        <v>556</v>
      </c>
      <c r="B74" s="90">
        <v>2</v>
      </c>
      <c r="C74" s="34">
        <v>1</v>
      </c>
      <c r="D74" s="130">
        <v>5</v>
      </c>
      <c r="E74" s="55"/>
      <c r="H74" s="122"/>
      <c r="I74" s="122"/>
    </row>
    <row r="75" spans="1:15" ht="26.25" hidden="1" customHeight="1" x14ac:dyDescent="0.2">
      <c r="A75" s="90" t="s">
        <v>557</v>
      </c>
      <c r="B75" s="90">
        <v>3</v>
      </c>
      <c r="C75" s="34">
        <v>1</v>
      </c>
      <c r="D75" s="130">
        <v>5</v>
      </c>
      <c r="E75" s="55"/>
      <c r="H75" s="122"/>
      <c r="I75" s="122"/>
    </row>
    <row r="76" spans="1:15" ht="26.25" hidden="1" customHeight="1" x14ac:dyDescent="0.2">
      <c r="A76" s="90" t="s">
        <v>555</v>
      </c>
      <c r="B76" s="90">
        <v>4</v>
      </c>
      <c r="C76" s="34">
        <v>1</v>
      </c>
      <c r="D76" s="130">
        <v>5</v>
      </c>
      <c r="E76" s="55"/>
      <c r="H76" s="122"/>
      <c r="I76" s="122"/>
    </row>
    <row r="77" spans="1:15" x14ac:dyDescent="0.2">
      <c r="A77" s="11" t="s">
        <v>322</v>
      </c>
      <c r="B77" s="11">
        <v>9000</v>
      </c>
      <c r="C77" s="11"/>
      <c r="D77" s="39"/>
      <c r="E77" s="209">
        <f>E69</f>
        <v>1163.6399999999999</v>
      </c>
    </row>
    <row r="78" spans="1:15" x14ac:dyDescent="0.2">
      <c r="A78" s="57"/>
      <c r="B78" s="57"/>
      <c r="C78" s="57"/>
      <c r="D78" s="57"/>
    </row>
    <row r="79" spans="1:15" x14ac:dyDescent="0.2">
      <c r="A79" s="3" t="s">
        <v>455</v>
      </c>
    </row>
    <row r="80" spans="1:15" ht="38.25" x14ac:dyDescent="0.2">
      <c r="A80" s="36" t="s">
        <v>0</v>
      </c>
      <c r="B80" s="11" t="s">
        <v>418</v>
      </c>
      <c r="C80" s="36" t="s">
        <v>413</v>
      </c>
      <c r="D80" s="36" t="s">
        <v>414</v>
      </c>
      <c r="E80" s="11" t="s">
        <v>415</v>
      </c>
      <c r="F80" s="36" t="s">
        <v>416</v>
      </c>
      <c r="G80" s="36" t="s">
        <v>417</v>
      </c>
    </row>
    <row r="81" spans="1:12" ht="38.25" x14ac:dyDescent="0.2">
      <c r="A81" s="36" t="s">
        <v>412</v>
      </c>
      <c r="B81" s="268" t="s">
        <v>645</v>
      </c>
      <c r="C81" s="55">
        <v>638341.19999999995</v>
      </c>
      <c r="D81" s="55">
        <v>2</v>
      </c>
      <c r="E81" s="55">
        <v>12758.8</v>
      </c>
      <c r="F81" s="55">
        <f>E81-G81</f>
        <v>2959.41</v>
      </c>
      <c r="G81" s="56">
        <v>9799.39</v>
      </c>
    </row>
    <row r="82" spans="1:12" x14ac:dyDescent="0.2">
      <c r="A82" s="11" t="s">
        <v>137</v>
      </c>
      <c r="B82" s="11">
        <v>9000</v>
      </c>
      <c r="C82" s="37"/>
      <c r="D82" s="11"/>
      <c r="E82" s="11"/>
      <c r="F82" s="11"/>
      <c r="G82" s="55">
        <f>G81</f>
        <v>9799.39</v>
      </c>
      <c r="L82" s="79"/>
    </row>
    <row r="84" spans="1:12" ht="15" customHeight="1" x14ac:dyDescent="0.2">
      <c r="A84" s="340" t="s">
        <v>697</v>
      </c>
      <c r="B84" s="340"/>
      <c r="C84" s="340"/>
      <c r="D84" s="340"/>
      <c r="E84" s="340"/>
      <c r="F84" s="340"/>
      <c r="G84" s="340"/>
      <c r="H84" s="340"/>
      <c r="I84" s="340"/>
      <c r="J84" s="340"/>
      <c r="K84" s="340"/>
      <c r="L84" s="340"/>
    </row>
    <row r="85" spans="1:12" x14ac:dyDescent="0.2">
      <c r="A85" s="3" t="s">
        <v>452</v>
      </c>
    </row>
    <row r="86" spans="1:12" ht="12.75" customHeight="1" x14ac:dyDescent="0.2">
      <c r="A86" s="343" t="s">
        <v>182</v>
      </c>
      <c r="B86" s="343" t="s">
        <v>1</v>
      </c>
      <c r="C86" s="343" t="s">
        <v>183</v>
      </c>
      <c r="D86" s="343" t="s">
        <v>184</v>
      </c>
      <c r="E86" s="343"/>
      <c r="F86" s="343"/>
      <c r="G86" s="343"/>
      <c r="H86" s="343"/>
      <c r="I86" s="343"/>
      <c r="J86" s="343"/>
      <c r="K86" s="343"/>
      <c r="L86" s="343" t="s">
        <v>185</v>
      </c>
    </row>
    <row r="87" spans="1:12" ht="12.75" customHeight="1" x14ac:dyDescent="0.2">
      <c r="A87" s="343"/>
      <c r="B87" s="343"/>
      <c r="C87" s="343"/>
      <c r="D87" s="343" t="s">
        <v>186</v>
      </c>
      <c r="E87" s="343" t="s">
        <v>15</v>
      </c>
      <c r="F87" s="343"/>
      <c r="G87" s="343"/>
      <c r="H87" s="343"/>
      <c r="I87" s="343"/>
      <c r="J87" s="343"/>
      <c r="K87" s="343"/>
      <c r="L87" s="343"/>
    </row>
    <row r="88" spans="1:12" ht="33" customHeight="1" x14ac:dyDescent="0.2">
      <c r="A88" s="343"/>
      <c r="B88" s="343"/>
      <c r="C88" s="343"/>
      <c r="D88" s="343"/>
      <c r="E88" s="343" t="s">
        <v>187</v>
      </c>
      <c r="F88" s="343" t="s">
        <v>188</v>
      </c>
      <c r="G88" s="343" t="s">
        <v>189</v>
      </c>
      <c r="H88" s="343" t="s">
        <v>190</v>
      </c>
      <c r="I88" s="343"/>
      <c r="J88" s="343" t="s">
        <v>191</v>
      </c>
      <c r="K88" s="343"/>
      <c r="L88" s="343"/>
    </row>
    <row r="89" spans="1:12" ht="38.25" x14ac:dyDescent="0.2">
      <c r="A89" s="343"/>
      <c r="B89" s="343"/>
      <c r="C89" s="343"/>
      <c r="D89" s="343"/>
      <c r="E89" s="343"/>
      <c r="F89" s="343"/>
      <c r="G89" s="343"/>
      <c r="H89" s="289" t="s">
        <v>192</v>
      </c>
      <c r="I89" s="289" t="s">
        <v>193</v>
      </c>
      <c r="J89" s="289" t="s">
        <v>192</v>
      </c>
      <c r="K89" s="289" t="s">
        <v>194</v>
      </c>
      <c r="L89" s="343"/>
    </row>
    <row r="90" spans="1:12" x14ac:dyDescent="0.2">
      <c r="A90" s="289">
        <v>1</v>
      </c>
      <c r="B90" s="289">
        <v>2</v>
      </c>
      <c r="C90" s="289">
        <v>3</v>
      </c>
      <c r="D90" s="289">
        <v>4</v>
      </c>
      <c r="E90" s="289">
        <v>5</v>
      </c>
      <c r="F90" s="289">
        <v>6</v>
      </c>
      <c r="G90" s="289">
        <v>7</v>
      </c>
      <c r="H90" s="289">
        <v>8</v>
      </c>
      <c r="I90" s="289">
        <v>9</v>
      </c>
      <c r="J90" s="289">
        <v>10</v>
      </c>
      <c r="K90" s="289">
        <v>11</v>
      </c>
      <c r="L90" s="289">
        <v>12</v>
      </c>
    </row>
    <row r="91" spans="1:12" ht="25.5" x14ac:dyDescent="0.2">
      <c r="A91" s="90" t="s">
        <v>496</v>
      </c>
      <c r="B91" s="291" t="s">
        <v>645</v>
      </c>
      <c r="C91" s="90">
        <v>1</v>
      </c>
      <c r="D91" s="92">
        <f>E91+F91+G91+I91+K91</f>
        <v>17489.2</v>
      </c>
      <c r="E91" s="92">
        <v>9505</v>
      </c>
      <c r="F91" s="92"/>
      <c r="G91" s="92">
        <v>1425.75</v>
      </c>
      <c r="H91" s="90">
        <v>30</v>
      </c>
      <c r="I91" s="92">
        <f>(E91+F91+G91)*H91/100</f>
        <v>3279.2249999999999</v>
      </c>
      <c r="J91" s="90">
        <v>30</v>
      </c>
      <c r="K91" s="92">
        <f>(E91+F91+G91)*J91/100</f>
        <v>3279.2249999999999</v>
      </c>
      <c r="L91" s="92">
        <f>C91*D91*12</f>
        <v>209870.40000000002</v>
      </c>
    </row>
    <row r="92" spans="1:12" x14ac:dyDescent="0.2">
      <c r="A92" s="90" t="s">
        <v>498</v>
      </c>
      <c r="B92" s="291" t="s">
        <v>646</v>
      </c>
      <c r="C92" s="90">
        <v>3</v>
      </c>
      <c r="D92" s="92">
        <f>E92+F92+G92+I92+K92</f>
        <v>18060.64</v>
      </c>
      <c r="E92" s="92">
        <v>8683</v>
      </c>
      <c r="F92" s="92"/>
      <c r="G92" s="92">
        <v>2604.9</v>
      </c>
      <c r="H92" s="90">
        <v>30</v>
      </c>
      <c r="I92" s="92">
        <f>(E92+F92+G92)*H92/100</f>
        <v>3386.37</v>
      </c>
      <c r="J92" s="90">
        <v>30</v>
      </c>
      <c r="K92" s="92">
        <f>(E92+F92+G92)*J92/100</f>
        <v>3386.37</v>
      </c>
      <c r="L92" s="92">
        <f>C92*D92*12</f>
        <v>650183.04</v>
      </c>
    </row>
    <row r="93" spans="1:12" x14ac:dyDescent="0.2">
      <c r="A93" s="90" t="s">
        <v>497</v>
      </c>
      <c r="B93" s="291" t="s">
        <v>647</v>
      </c>
      <c r="C93" s="90">
        <v>1.5</v>
      </c>
      <c r="D93" s="92">
        <f t="shared" ref="D93:D97" si="9">E93+F93+G93+I93+K93</f>
        <v>14583.839999999998</v>
      </c>
      <c r="E93" s="92">
        <v>7926</v>
      </c>
      <c r="F93" s="92"/>
      <c r="G93" s="92">
        <v>1188.9000000000001</v>
      </c>
      <c r="H93" s="90">
        <v>30</v>
      </c>
      <c r="I93" s="92">
        <f t="shared" ref="I93:I100" si="10">(E93+F93+G93)*H93/100</f>
        <v>2734.47</v>
      </c>
      <c r="J93" s="90">
        <v>30</v>
      </c>
      <c r="K93" s="92">
        <f t="shared" ref="K93:K95" si="11">(E93+F93+G93)*J93/100</f>
        <v>2734.47</v>
      </c>
      <c r="L93" s="92">
        <f t="shared" ref="L93:L95" si="12">C93*D93*12</f>
        <v>262509.12</v>
      </c>
    </row>
    <row r="94" spans="1:12" x14ac:dyDescent="0.2">
      <c r="A94" s="90" t="s">
        <v>286</v>
      </c>
      <c r="B94" s="291" t="s">
        <v>648</v>
      </c>
      <c r="C94" s="90">
        <v>3</v>
      </c>
      <c r="D94" s="92">
        <f t="shared" si="9"/>
        <v>19770.400000000001</v>
      </c>
      <c r="E94" s="92">
        <v>9505</v>
      </c>
      <c r="F94" s="92"/>
      <c r="G94" s="92">
        <v>2851.5</v>
      </c>
      <c r="H94" s="90">
        <v>30</v>
      </c>
      <c r="I94" s="92">
        <f t="shared" si="10"/>
        <v>3706.95</v>
      </c>
      <c r="J94" s="90">
        <v>30</v>
      </c>
      <c r="K94" s="92">
        <f t="shared" si="11"/>
        <v>3706.95</v>
      </c>
      <c r="L94" s="92">
        <f t="shared" si="12"/>
        <v>711734.4</v>
      </c>
    </row>
    <row r="95" spans="1:12" x14ac:dyDescent="0.2">
      <c r="A95" s="90" t="s">
        <v>287</v>
      </c>
      <c r="B95" s="291" t="s">
        <v>649</v>
      </c>
      <c r="C95" s="90">
        <v>1.5</v>
      </c>
      <c r="D95" s="92">
        <f t="shared" si="9"/>
        <v>21291.199999999997</v>
      </c>
      <c r="E95" s="92">
        <v>9505</v>
      </c>
      <c r="F95" s="92"/>
      <c r="G95" s="92">
        <v>3802</v>
      </c>
      <c r="H95" s="90">
        <v>30</v>
      </c>
      <c r="I95" s="92">
        <f t="shared" si="10"/>
        <v>3992.1</v>
      </c>
      <c r="J95" s="90">
        <v>30</v>
      </c>
      <c r="K95" s="92">
        <f t="shared" si="11"/>
        <v>3992.1</v>
      </c>
      <c r="L95" s="92">
        <f t="shared" si="12"/>
        <v>383241.6</v>
      </c>
    </row>
    <row r="96" spans="1:12" x14ac:dyDescent="0.2">
      <c r="A96" s="90" t="s">
        <v>288</v>
      </c>
      <c r="B96" s="291" t="s">
        <v>650</v>
      </c>
      <c r="C96" s="90">
        <v>9.2799999999999994</v>
      </c>
      <c r="D96" s="92">
        <f t="shared" si="9"/>
        <v>20018.400000000001</v>
      </c>
      <c r="E96" s="92">
        <v>8341</v>
      </c>
      <c r="F96" s="92">
        <v>1668.2</v>
      </c>
      <c r="G96" s="92">
        <v>2502.3000000000002</v>
      </c>
      <c r="H96" s="90">
        <v>30</v>
      </c>
      <c r="I96" s="92">
        <f t="shared" si="10"/>
        <v>3753.45</v>
      </c>
      <c r="J96" s="90">
        <v>30</v>
      </c>
      <c r="K96" s="92">
        <f>(E96+F96+G96)*J96/100</f>
        <v>3753.45</v>
      </c>
      <c r="L96" s="92">
        <f>C96*D96*12+42000</f>
        <v>2271249.0240000002</v>
      </c>
    </row>
    <row r="97" spans="1:13" x14ac:dyDescent="0.2">
      <c r="A97" s="90" t="s">
        <v>289</v>
      </c>
      <c r="B97" s="291" t="s">
        <v>652</v>
      </c>
      <c r="C97" s="90">
        <v>84.83</v>
      </c>
      <c r="D97" s="92">
        <f t="shared" si="9"/>
        <v>25093.199999999997</v>
      </c>
      <c r="E97" s="92">
        <v>9505</v>
      </c>
      <c r="F97" s="92">
        <v>1425.75</v>
      </c>
      <c r="G97" s="92">
        <v>4752.5</v>
      </c>
      <c r="H97" s="90">
        <v>30</v>
      </c>
      <c r="I97" s="92">
        <f t="shared" si="10"/>
        <v>4704.9750000000004</v>
      </c>
      <c r="J97" s="90">
        <v>30</v>
      </c>
      <c r="K97" s="92">
        <f>(E97+F97+G97)*J97/100</f>
        <v>4704.9750000000004</v>
      </c>
      <c r="L97" s="92">
        <f>C97*D97*12+270000</f>
        <v>25813873.871999994</v>
      </c>
    </row>
    <row r="98" spans="1:13" x14ac:dyDescent="0.2">
      <c r="A98" s="90" t="s">
        <v>687</v>
      </c>
      <c r="B98" s="291" t="s">
        <v>651</v>
      </c>
      <c r="C98" s="90">
        <v>0.3</v>
      </c>
      <c r="D98" s="92">
        <f>E98+F98+G98+I98+K98</f>
        <v>17489.2</v>
      </c>
      <c r="E98" s="92">
        <v>9505</v>
      </c>
      <c r="F98" s="92"/>
      <c r="G98" s="92">
        <v>1425.75</v>
      </c>
      <c r="H98" s="90">
        <v>30</v>
      </c>
      <c r="I98" s="92">
        <f t="shared" si="10"/>
        <v>3279.2249999999999</v>
      </c>
      <c r="J98" s="90">
        <v>30</v>
      </c>
      <c r="K98" s="92">
        <f>(E98+F98+G98)*J98/100</f>
        <v>3279.2249999999999</v>
      </c>
      <c r="L98" s="92">
        <f>C98*D98*12</f>
        <v>62961.120000000003</v>
      </c>
    </row>
    <row r="99" spans="1:13" x14ac:dyDescent="0.2">
      <c r="A99" s="90" t="s">
        <v>290</v>
      </c>
      <c r="B99" s="291" t="s">
        <v>653</v>
      </c>
      <c r="C99" s="90">
        <v>1</v>
      </c>
      <c r="D99" s="92">
        <f t="shared" ref="D99:D100" si="13">E99+F99+G99+I99+K99</f>
        <v>13315.679999999997</v>
      </c>
      <c r="E99" s="92">
        <v>7926</v>
      </c>
      <c r="F99" s="92"/>
      <c r="G99" s="92">
        <v>396.3</v>
      </c>
      <c r="H99" s="90">
        <v>30</v>
      </c>
      <c r="I99" s="92">
        <f t="shared" si="10"/>
        <v>2496.6899999999996</v>
      </c>
      <c r="J99" s="90">
        <v>30</v>
      </c>
      <c r="K99" s="92">
        <f t="shared" ref="K99:K102" si="14">(E99+F99+G99)*J99/100</f>
        <v>2496.6899999999996</v>
      </c>
      <c r="L99" s="92">
        <f>C99*D99*12</f>
        <v>159788.15999999997</v>
      </c>
    </row>
    <row r="100" spans="1:13" x14ac:dyDescent="0.2">
      <c r="A100" s="90" t="s">
        <v>615</v>
      </c>
      <c r="B100" s="291" t="s">
        <v>654</v>
      </c>
      <c r="C100" s="90">
        <v>1</v>
      </c>
      <c r="D100" s="92">
        <f t="shared" si="13"/>
        <v>14587.44</v>
      </c>
      <c r="E100" s="92">
        <v>8683</v>
      </c>
      <c r="F100" s="92"/>
      <c r="G100" s="92">
        <v>434.15</v>
      </c>
      <c r="H100" s="90">
        <v>30</v>
      </c>
      <c r="I100" s="92">
        <f t="shared" si="10"/>
        <v>2735.145</v>
      </c>
      <c r="J100" s="90">
        <v>30</v>
      </c>
      <c r="K100" s="92">
        <f t="shared" si="14"/>
        <v>2735.145</v>
      </c>
      <c r="L100" s="92">
        <f>C100*D100*12</f>
        <v>175049.28</v>
      </c>
    </row>
    <row r="101" spans="1:13" ht="25.5" x14ac:dyDescent="0.2">
      <c r="A101" s="90" t="s">
        <v>292</v>
      </c>
      <c r="B101" s="291" t="s">
        <v>655</v>
      </c>
      <c r="C101" s="90"/>
      <c r="D101" s="92">
        <f>E101+F101+G101+I101+K101</f>
        <v>412982.46399999998</v>
      </c>
      <c r="E101" s="92"/>
      <c r="F101" s="92"/>
      <c r="G101" s="92">
        <v>258114.04</v>
      </c>
      <c r="H101" s="90">
        <v>30</v>
      </c>
      <c r="I101" s="92">
        <f>(E101+F101+G101)*H101/100</f>
        <v>77434.212</v>
      </c>
      <c r="J101" s="90">
        <v>30</v>
      </c>
      <c r="K101" s="92">
        <f t="shared" si="14"/>
        <v>77434.212</v>
      </c>
      <c r="L101" s="92">
        <f>D101*12</f>
        <v>4955789.568</v>
      </c>
    </row>
    <row r="102" spans="1:13" x14ac:dyDescent="0.2">
      <c r="A102" s="90" t="s">
        <v>300</v>
      </c>
      <c r="B102" s="291" t="s">
        <v>656</v>
      </c>
      <c r="C102" s="90"/>
      <c r="D102" s="92">
        <f>E102+F102+G102+I102+K102</f>
        <v>176425.12</v>
      </c>
      <c r="E102" s="92"/>
      <c r="F102" s="92"/>
      <c r="G102" s="92">
        <v>110265.7</v>
      </c>
      <c r="H102" s="90">
        <v>30</v>
      </c>
      <c r="I102" s="92">
        <f>(E102+F102+G102)*H102/100</f>
        <v>33079.71</v>
      </c>
      <c r="J102" s="90">
        <v>30</v>
      </c>
      <c r="K102" s="92">
        <f t="shared" si="14"/>
        <v>33079.71</v>
      </c>
      <c r="L102" s="92">
        <f>D102*12</f>
        <v>2117101.44</v>
      </c>
    </row>
    <row r="103" spans="1:13" x14ac:dyDescent="0.2">
      <c r="A103" s="90" t="s">
        <v>137</v>
      </c>
      <c r="B103" s="289">
        <v>9000</v>
      </c>
      <c r="C103" s="250">
        <f>C91+C92+C93+C94+C95+C96+C97+C98+C99+C100</f>
        <v>106.41</v>
      </c>
      <c r="D103" s="92">
        <f>SUM(D91:D101)</f>
        <v>594681.66399999999</v>
      </c>
      <c r="E103" s="92">
        <f>SUM(E91:E101)</f>
        <v>89084</v>
      </c>
      <c r="F103" s="92">
        <f>SUM(F91:F101)</f>
        <v>3093.95</v>
      </c>
      <c r="G103" s="92">
        <f>SUM(G91:G101)+G102</f>
        <v>389763.79000000004</v>
      </c>
      <c r="H103" s="92"/>
      <c r="I103" s="92">
        <f>SUM(I91:I101)+I102</f>
        <v>144582.522</v>
      </c>
      <c r="J103" s="92"/>
      <c r="K103" s="92">
        <f>SUM(K91:K101)+K102</f>
        <v>144582.522</v>
      </c>
      <c r="L103" s="92">
        <f>SUM(L91:L102)-0.02</f>
        <v>37773351.003999986</v>
      </c>
      <c r="M103" s="104">
        <v>37773351</v>
      </c>
    </row>
    <row r="105" spans="1:13" x14ac:dyDescent="0.2">
      <c r="A105" s="3" t="s">
        <v>452</v>
      </c>
    </row>
    <row r="106" spans="1:13" ht="12.75" customHeight="1" x14ac:dyDescent="0.2">
      <c r="A106" s="343" t="s">
        <v>182</v>
      </c>
      <c r="B106" s="343" t="s">
        <v>1</v>
      </c>
      <c r="C106" s="343" t="s">
        <v>183</v>
      </c>
      <c r="D106" s="343" t="s">
        <v>184</v>
      </c>
      <c r="E106" s="343"/>
      <c r="F106" s="343"/>
      <c r="G106" s="343"/>
      <c r="H106" s="343"/>
      <c r="I106" s="343"/>
      <c r="J106" s="343"/>
      <c r="K106" s="343"/>
      <c r="L106" s="343" t="s">
        <v>185</v>
      </c>
    </row>
    <row r="107" spans="1:13" ht="12.75" customHeight="1" x14ac:dyDescent="0.2">
      <c r="A107" s="343"/>
      <c r="B107" s="343"/>
      <c r="C107" s="343"/>
      <c r="D107" s="343" t="s">
        <v>186</v>
      </c>
      <c r="E107" s="343" t="s">
        <v>15</v>
      </c>
      <c r="F107" s="343"/>
      <c r="G107" s="343"/>
      <c r="H107" s="343"/>
      <c r="I107" s="343"/>
      <c r="J107" s="343"/>
      <c r="K107" s="343"/>
      <c r="L107" s="343"/>
    </row>
    <row r="108" spans="1:13" ht="12.75" customHeight="1" x14ac:dyDescent="0.2">
      <c r="A108" s="343"/>
      <c r="B108" s="343"/>
      <c r="C108" s="343"/>
      <c r="D108" s="343"/>
      <c r="E108" s="343" t="s">
        <v>187</v>
      </c>
      <c r="F108" s="343" t="s">
        <v>188</v>
      </c>
      <c r="G108" s="343" t="s">
        <v>189</v>
      </c>
      <c r="H108" s="343" t="s">
        <v>190</v>
      </c>
      <c r="I108" s="343"/>
      <c r="J108" s="343" t="s">
        <v>191</v>
      </c>
      <c r="K108" s="343"/>
      <c r="L108" s="343"/>
    </row>
    <row r="109" spans="1:13" ht="38.25" x14ac:dyDescent="0.2">
      <c r="A109" s="343"/>
      <c r="B109" s="343"/>
      <c r="C109" s="343"/>
      <c r="D109" s="343"/>
      <c r="E109" s="343"/>
      <c r="F109" s="343"/>
      <c r="G109" s="343"/>
      <c r="H109" s="289" t="s">
        <v>192</v>
      </c>
      <c r="I109" s="289" t="s">
        <v>193</v>
      </c>
      <c r="J109" s="289" t="s">
        <v>192</v>
      </c>
      <c r="K109" s="289" t="s">
        <v>194</v>
      </c>
      <c r="L109" s="343"/>
    </row>
    <row r="110" spans="1:13" x14ac:dyDescent="0.2">
      <c r="A110" s="289">
        <v>1</v>
      </c>
      <c r="B110" s="289">
        <v>2</v>
      </c>
      <c r="C110" s="289">
        <v>3</v>
      </c>
      <c r="D110" s="289">
        <v>4</v>
      </c>
      <c r="E110" s="289">
        <v>5</v>
      </c>
      <c r="F110" s="289">
        <v>6</v>
      </c>
      <c r="G110" s="289">
        <v>7</v>
      </c>
      <c r="H110" s="289">
        <v>8</v>
      </c>
      <c r="I110" s="289">
        <v>9</v>
      </c>
      <c r="J110" s="289">
        <v>10</v>
      </c>
      <c r="K110" s="289">
        <v>11</v>
      </c>
      <c r="L110" s="289">
        <v>12</v>
      </c>
    </row>
    <row r="111" spans="1:13" ht="25.5" x14ac:dyDescent="0.2">
      <c r="A111" s="90" t="s">
        <v>293</v>
      </c>
      <c r="B111" s="291" t="s">
        <v>645</v>
      </c>
      <c r="C111" s="90">
        <v>0.75</v>
      </c>
      <c r="D111" s="92">
        <f>E111+F111+G111+I111+K111</f>
        <v>13918</v>
      </c>
      <c r="E111" s="92">
        <v>6959</v>
      </c>
      <c r="F111" s="92"/>
      <c r="G111" s="92">
        <v>1739.75</v>
      </c>
      <c r="H111" s="90">
        <v>30</v>
      </c>
      <c r="I111" s="92">
        <f>(E111+F111+G111)*H111/100</f>
        <v>2609.625</v>
      </c>
      <c r="J111" s="90">
        <v>30</v>
      </c>
      <c r="K111" s="92">
        <f>(E111+F111+G111)*J111/100</f>
        <v>2609.625</v>
      </c>
      <c r="L111" s="92">
        <f>D111*C111*12</f>
        <v>125262</v>
      </c>
    </row>
    <row r="112" spans="1:13" ht="25.5" x14ac:dyDescent="0.2">
      <c r="A112" s="90" t="s">
        <v>293</v>
      </c>
      <c r="B112" s="291" t="s">
        <v>646</v>
      </c>
      <c r="C112" s="90">
        <v>4</v>
      </c>
      <c r="D112" s="92">
        <f>E112+F112+G112+I112+K112</f>
        <v>15852</v>
      </c>
      <c r="E112" s="92">
        <v>7926</v>
      </c>
      <c r="F112" s="92"/>
      <c r="G112" s="92">
        <v>1981.5</v>
      </c>
      <c r="H112" s="90">
        <v>30</v>
      </c>
      <c r="I112" s="92">
        <f>(E112+F112+G112)*H112/100</f>
        <v>2972.25</v>
      </c>
      <c r="J112" s="90">
        <v>30</v>
      </c>
      <c r="K112" s="92">
        <f>(E112+F112+G112)*J112/100</f>
        <v>2972.25</v>
      </c>
      <c r="L112" s="92">
        <f>C112*D112*12</f>
        <v>760896</v>
      </c>
    </row>
    <row r="113" spans="1:13" x14ac:dyDescent="0.2">
      <c r="A113" s="90" t="s">
        <v>606</v>
      </c>
      <c r="B113" s="291" t="s">
        <v>647</v>
      </c>
      <c r="C113" s="90"/>
      <c r="D113" s="92">
        <f>E113+F113+G113+I113+K113</f>
        <v>0</v>
      </c>
      <c r="E113" s="92"/>
      <c r="F113" s="92"/>
      <c r="G113" s="92"/>
      <c r="H113" s="90">
        <v>30</v>
      </c>
      <c r="I113" s="92">
        <f>(E113+F113+G113)*H113/100</f>
        <v>0</v>
      </c>
      <c r="J113" s="90">
        <v>30</v>
      </c>
      <c r="K113" s="92">
        <f>(E113+F113+G113)*J113/100</f>
        <v>0</v>
      </c>
      <c r="L113" s="92">
        <f>D113*12</f>
        <v>0</v>
      </c>
    </row>
    <row r="114" spans="1:13" x14ac:dyDescent="0.2">
      <c r="A114" s="90" t="s">
        <v>300</v>
      </c>
      <c r="B114" s="291" t="s">
        <v>648</v>
      </c>
      <c r="C114" s="90"/>
      <c r="D114" s="92">
        <f>E114+F114+G114+I114+K114</f>
        <v>37861.750400000004</v>
      </c>
      <c r="E114" s="92"/>
      <c r="F114" s="92"/>
      <c r="G114" s="92">
        <v>23663.594000000001</v>
      </c>
      <c r="H114" s="90">
        <v>30</v>
      </c>
      <c r="I114" s="92">
        <f>(E114+F114+G114)*H114/100</f>
        <v>7099.0782000000008</v>
      </c>
      <c r="J114" s="90">
        <v>30</v>
      </c>
      <c r="K114" s="92">
        <f>(E114+F114+G114)*J114/100</f>
        <v>7099.0782000000008</v>
      </c>
      <c r="L114" s="92">
        <f>D114*12</f>
        <v>454341.00480000005</v>
      </c>
      <c r="M114" s="104"/>
    </row>
    <row r="115" spans="1:13" x14ac:dyDescent="0.2">
      <c r="A115" s="90" t="s">
        <v>137</v>
      </c>
      <c r="B115" s="289">
        <v>9000</v>
      </c>
      <c r="C115" s="250">
        <f>+C112+C111</f>
        <v>4.75</v>
      </c>
      <c r="D115" s="92">
        <f>SUM(D111:D114)</f>
        <v>67631.750400000004</v>
      </c>
      <c r="E115" s="92">
        <f>SUM(E111:E114)</f>
        <v>14885</v>
      </c>
      <c r="F115" s="92">
        <f>SUM(F111:F114)</f>
        <v>0</v>
      </c>
      <c r="G115" s="92">
        <f>SUM(G111:G114)</f>
        <v>27384.844000000001</v>
      </c>
      <c r="H115" s="92"/>
      <c r="I115" s="92">
        <f>SUM(I111:I114)</f>
        <v>12680.9532</v>
      </c>
      <c r="J115" s="92"/>
      <c r="K115" s="92">
        <f>SUM(K111:K114)</f>
        <v>12680.9532</v>
      </c>
      <c r="L115" s="92">
        <f>SUM(L111:L114)+0.23</f>
        <v>1340499.2348</v>
      </c>
      <c r="M115" s="104">
        <v>1340499</v>
      </c>
    </row>
    <row r="116" spans="1:13" hidden="1" x14ac:dyDescent="0.2">
      <c r="A116" s="243"/>
      <c r="B116" s="254"/>
      <c r="C116" s="255"/>
      <c r="D116" s="94"/>
      <c r="E116" s="94"/>
      <c r="F116" s="94"/>
      <c r="G116" s="94"/>
      <c r="H116" s="94"/>
      <c r="I116" s="94"/>
      <c r="J116" s="94"/>
      <c r="K116" s="94"/>
      <c r="L116" s="94"/>
    </row>
    <row r="117" spans="1:13" ht="15" hidden="1" customHeight="1" x14ac:dyDescent="0.2">
      <c r="A117" s="347" t="s">
        <v>597</v>
      </c>
      <c r="B117" s="347"/>
      <c r="C117" s="347"/>
      <c r="D117" s="347"/>
      <c r="E117" s="94"/>
      <c r="F117" s="94"/>
      <c r="G117" s="94"/>
      <c r="H117" s="94"/>
      <c r="I117" s="94"/>
      <c r="J117" s="94"/>
      <c r="K117" s="94"/>
      <c r="L117" s="94"/>
    </row>
    <row r="118" spans="1:13" ht="65.25" hidden="1" customHeight="1" x14ac:dyDescent="0.2">
      <c r="A118" s="289" t="s">
        <v>182</v>
      </c>
      <c r="B118" s="289" t="s">
        <v>1</v>
      </c>
      <c r="C118" s="289" t="s">
        <v>183</v>
      </c>
      <c r="D118" s="92" t="s">
        <v>468</v>
      </c>
      <c r="E118" s="93" t="s">
        <v>469</v>
      </c>
      <c r="F118" s="93" t="s">
        <v>470</v>
      </c>
      <c r="G118" s="92" t="s">
        <v>472</v>
      </c>
      <c r="H118" s="94"/>
      <c r="I118" s="94"/>
      <c r="J118" s="94"/>
      <c r="K118" s="94"/>
      <c r="L118" s="94"/>
    </row>
    <row r="119" spans="1:13" ht="13.5" hidden="1" customHeight="1" x14ac:dyDescent="0.2">
      <c r="A119" s="289">
        <v>1</v>
      </c>
      <c r="B119" s="289">
        <v>2</v>
      </c>
      <c r="C119" s="289">
        <v>3</v>
      </c>
      <c r="D119" s="251">
        <v>4</v>
      </c>
      <c r="E119" s="251">
        <v>5</v>
      </c>
      <c r="F119" s="251">
        <v>6</v>
      </c>
      <c r="G119" s="251">
        <v>7</v>
      </c>
      <c r="H119" s="252"/>
      <c r="I119" s="94"/>
      <c r="J119" s="94"/>
      <c r="K119" s="94"/>
      <c r="L119" s="94"/>
    </row>
    <row r="120" spans="1:13" hidden="1" x14ac:dyDescent="0.2">
      <c r="A120" s="90" t="s">
        <v>288</v>
      </c>
      <c r="B120" s="288" t="s">
        <v>645</v>
      </c>
      <c r="C120" s="289"/>
      <c r="D120" s="253">
        <v>12</v>
      </c>
      <c r="E120" s="253"/>
      <c r="F120" s="92">
        <v>7500</v>
      </c>
      <c r="G120" s="92"/>
      <c r="H120" s="94"/>
      <c r="I120" s="94"/>
      <c r="J120" s="94"/>
      <c r="K120" s="94"/>
      <c r="L120" s="94"/>
    </row>
    <row r="121" spans="1:13" hidden="1" x14ac:dyDescent="0.2">
      <c r="A121" s="90" t="s">
        <v>288</v>
      </c>
      <c r="B121" s="288" t="s">
        <v>646</v>
      </c>
      <c r="C121" s="289"/>
      <c r="D121" s="253">
        <v>12</v>
      </c>
      <c r="E121" s="253"/>
      <c r="F121" s="92">
        <v>7500</v>
      </c>
      <c r="G121" s="92"/>
      <c r="H121" s="94"/>
      <c r="I121" s="94"/>
      <c r="J121" s="94"/>
      <c r="K121" s="94"/>
      <c r="L121" s="94"/>
    </row>
    <row r="122" spans="1:13" hidden="1" x14ac:dyDescent="0.2">
      <c r="A122" s="90" t="s">
        <v>690</v>
      </c>
      <c r="B122" s="288" t="s">
        <v>647</v>
      </c>
      <c r="C122" s="289"/>
      <c r="D122" s="253">
        <v>12</v>
      </c>
      <c r="E122" s="253"/>
      <c r="F122" s="92">
        <f>G122/D122</f>
        <v>0</v>
      </c>
      <c r="G122" s="92"/>
      <c r="H122" s="94"/>
      <c r="I122" s="94"/>
      <c r="J122" s="94"/>
      <c r="K122" s="94"/>
      <c r="L122" s="94"/>
    </row>
    <row r="123" spans="1:13" hidden="1" x14ac:dyDescent="0.2">
      <c r="A123" s="90" t="s">
        <v>137</v>
      </c>
      <c r="B123" s="289">
        <v>9000</v>
      </c>
      <c r="C123" s="289">
        <f>C120+C121+C122</f>
        <v>0</v>
      </c>
      <c r="D123" s="92"/>
      <c r="E123" s="92"/>
      <c r="F123" s="92"/>
      <c r="G123" s="92">
        <f>G120+G121+G122</f>
        <v>0</v>
      </c>
      <c r="H123" s="94"/>
      <c r="I123" s="94"/>
      <c r="J123" s="94"/>
      <c r="K123" s="94"/>
      <c r="L123" s="94"/>
      <c r="M123" s="104"/>
    </row>
    <row r="124" spans="1:13" hidden="1" x14ac:dyDescent="0.2">
      <c r="A124" s="243"/>
      <c r="B124" s="254"/>
      <c r="C124" s="254"/>
      <c r="D124" s="94"/>
      <c r="E124" s="94"/>
      <c r="F124" s="94"/>
      <c r="G124" s="94"/>
      <c r="H124" s="94"/>
      <c r="I124" s="94"/>
      <c r="J124" s="94"/>
      <c r="K124" s="94"/>
      <c r="L124" s="94"/>
    </row>
    <row r="125" spans="1:13" x14ac:dyDescent="0.2">
      <c r="A125" s="3" t="s">
        <v>454</v>
      </c>
      <c r="M125" s="201" t="s">
        <v>583</v>
      </c>
    </row>
    <row r="126" spans="1:13" ht="12.75" customHeight="1" x14ac:dyDescent="0.2">
      <c r="A126" s="343" t="s">
        <v>182</v>
      </c>
      <c r="B126" s="343" t="s">
        <v>1</v>
      </c>
      <c r="C126" s="343" t="s">
        <v>183</v>
      </c>
      <c r="D126" s="343" t="s">
        <v>184</v>
      </c>
      <c r="E126" s="343"/>
      <c r="F126" s="343"/>
      <c r="G126" s="343"/>
      <c r="H126" s="343"/>
      <c r="I126" s="343"/>
      <c r="J126" s="343"/>
      <c r="K126" s="343"/>
      <c r="L126" s="343" t="s">
        <v>185</v>
      </c>
    </row>
    <row r="127" spans="1:13" ht="12.75" customHeight="1" x14ac:dyDescent="0.2">
      <c r="A127" s="343"/>
      <c r="B127" s="343"/>
      <c r="C127" s="343"/>
      <c r="D127" s="343" t="s">
        <v>186</v>
      </c>
      <c r="E127" s="343" t="s">
        <v>15</v>
      </c>
      <c r="F127" s="343"/>
      <c r="G127" s="343"/>
      <c r="H127" s="343"/>
      <c r="I127" s="343"/>
      <c r="J127" s="343"/>
      <c r="K127" s="343"/>
      <c r="L127" s="343"/>
    </row>
    <row r="128" spans="1:13" ht="12.75" customHeight="1" x14ac:dyDescent="0.2">
      <c r="A128" s="343"/>
      <c r="B128" s="343"/>
      <c r="C128" s="343"/>
      <c r="D128" s="343"/>
      <c r="E128" s="343" t="s">
        <v>187</v>
      </c>
      <c r="F128" s="343" t="s">
        <v>188</v>
      </c>
      <c r="G128" s="343" t="s">
        <v>189</v>
      </c>
      <c r="H128" s="343" t="s">
        <v>190</v>
      </c>
      <c r="I128" s="343"/>
      <c r="J128" s="343" t="s">
        <v>191</v>
      </c>
      <c r="K128" s="343"/>
      <c r="L128" s="343"/>
    </row>
    <row r="129" spans="1:12" ht="38.25" x14ac:dyDescent="0.2">
      <c r="A129" s="343"/>
      <c r="B129" s="343"/>
      <c r="C129" s="343"/>
      <c r="D129" s="343"/>
      <c r="E129" s="343"/>
      <c r="F129" s="343"/>
      <c r="G129" s="343"/>
      <c r="H129" s="289" t="s">
        <v>192</v>
      </c>
      <c r="I129" s="289" t="s">
        <v>193</v>
      </c>
      <c r="J129" s="289" t="s">
        <v>192</v>
      </c>
      <c r="K129" s="289" t="s">
        <v>194</v>
      </c>
      <c r="L129" s="343"/>
    </row>
    <row r="130" spans="1:12" x14ac:dyDescent="0.2">
      <c r="A130" s="289">
        <v>1</v>
      </c>
      <c r="B130" s="289">
        <v>2</v>
      </c>
      <c r="C130" s="289">
        <v>3</v>
      </c>
      <c r="D130" s="289">
        <v>4</v>
      </c>
      <c r="E130" s="289">
        <v>5</v>
      </c>
      <c r="F130" s="289">
        <v>6</v>
      </c>
      <c r="G130" s="289">
        <v>7</v>
      </c>
      <c r="H130" s="289">
        <v>8</v>
      </c>
      <c r="I130" s="289">
        <v>9</v>
      </c>
      <c r="J130" s="289">
        <v>10</v>
      </c>
      <c r="K130" s="289">
        <v>11</v>
      </c>
      <c r="L130" s="289">
        <v>12</v>
      </c>
    </row>
    <row r="131" spans="1:12" x14ac:dyDescent="0.2">
      <c r="A131" s="90" t="s">
        <v>405</v>
      </c>
      <c r="B131" s="291" t="s">
        <v>645</v>
      </c>
      <c r="C131" s="90">
        <v>1</v>
      </c>
      <c r="D131" s="92">
        <f>E131+F131+G131+I131+K131</f>
        <v>56342</v>
      </c>
      <c r="E131" s="92">
        <v>28171</v>
      </c>
      <c r="F131" s="92"/>
      <c r="G131" s="92">
        <v>7042.75</v>
      </c>
      <c r="H131" s="90">
        <v>30</v>
      </c>
      <c r="I131" s="92">
        <f>(E131+F131+G131)*H131/100</f>
        <v>10564.125</v>
      </c>
      <c r="J131" s="90">
        <v>30</v>
      </c>
      <c r="K131" s="92">
        <f>(E131+F131+G131)*J131/100</f>
        <v>10564.125</v>
      </c>
      <c r="L131" s="92">
        <f>D131*C131*12</f>
        <v>676104</v>
      </c>
    </row>
    <row r="132" spans="1:12" ht="25.5" x14ac:dyDescent="0.2">
      <c r="A132" s="90" t="s">
        <v>295</v>
      </c>
      <c r="B132" s="291" t="s">
        <v>646</v>
      </c>
      <c r="C132" s="90">
        <v>1</v>
      </c>
      <c r="D132" s="92">
        <f>E132+F132+G132+I132+K132</f>
        <v>39496</v>
      </c>
      <c r="E132" s="92">
        <v>19748</v>
      </c>
      <c r="F132" s="92"/>
      <c r="G132" s="92">
        <v>4937</v>
      </c>
      <c r="H132" s="90">
        <v>30</v>
      </c>
      <c r="I132" s="92">
        <f>(E132+F132+G132)*H132/100</f>
        <v>7405.5</v>
      </c>
      <c r="J132" s="90">
        <v>30</v>
      </c>
      <c r="K132" s="92">
        <f t="shared" ref="K132:K147" si="15">(E132+F132+G132)*J132/100</f>
        <v>7405.5</v>
      </c>
      <c r="L132" s="92">
        <f t="shared" ref="L132" si="16">D132*C132*12</f>
        <v>473952</v>
      </c>
    </row>
    <row r="133" spans="1:12" ht="25.5" x14ac:dyDescent="0.2">
      <c r="A133" s="90" t="s">
        <v>294</v>
      </c>
      <c r="B133" s="291" t="s">
        <v>647</v>
      </c>
      <c r="C133" s="90">
        <v>2.5</v>
      </c>
      <c r="D133" s="92">
        <f>E133+F133+G133+I133+K133</f>
        <v>39496</v>
      </c>
      <c r="E133" s="92">
        <v>19748</v>
      </c>
      <c r="F133" s="92"/>
      <c r="G133" s="92">
        <v>4937</v>
      </c>
      <c r="H133" s="90">
        <v>30</v>
      </c>
      <c r="I133" s="92">
        <f t="shared" ref="I133:I141" si="17">(E133+F133+G133)*H133/100</f>
        <v>7405.5</v>
      </c>
      <c r="J133" s="90">
        <v>30</v>
      </c>
      <c r="K133" s="92">
        <f t="shared" si="15"/>
        <v>7405.5</v>
      </c>
      <c r="L133" s="92">
        <f>D133*C133*12</f>
        <v>1184880</v>
      </c>
    </row>
    <row r="134" spans="1:12" ht="38.25" x14ac:dyDescent="0.2">
      <c r="A134" s="90" t="s">
        <v>499</v>
      </c>
      <c r="B134" s="291" t="s">
        <v>648</v>
      </c>
      <c r="C134" s="90">
        <v>0.25</v>
      </c>
      <c r="D134" s="92">
        <f>E134+F134+G134+I134+K134</f>
        <v>33176.639999999999</v>
      </c>
      <c r="E134" s="92">
        <v>19748</v>
      </c>
      <c r="F134" s="92"/>
      <c r="G134" s="92">
        <v>987.4</v>
      </c>
      <c r="H134" s="90">
        <v>30</v>
      </c>
      <c r="I134" s="92">
        <f t="shared" si="17"/>
        <v>6220.62</v>
      </c>
      <c r="J134" s="90">
        <v>30</v>
      </c>
      <c r="K134" s="92">
        <f t="shared" si="15"/>
        <v>6220.62</v>
      </c>
      <c r="L134" s="92">
        <f t="shared" ref="L134:L141" si="18">D134*C134*12</f>
        <v>99529.919999999998</v>
      </c>
    </row>
    <row r="135" spans="1:12" x14ac:dyDescent="0.2">
      <c r="A135" s="90" t="s">
        <v>296</v>
      </c>
      <c r="B135" s="291" t="s">
        <v>652</v>
      </c>
      <c r="C135" s="90"/>
      <c r="D135" s="92">
        <f t="shared" ref="D135:D140" si="19">E135+F135+G135+I135+K135</f>
        <v>0</v>
      </c>
      <c r="E135" s="92"/>
      <c r="F135" s="92"/>
      <c r="G135" s="92"/>
      <c r="H135" s="90">
        <v>30</v>
      </c>
      <c r="I135" s="92">
        <f t="shared" si="17"/>
        <v>0</v>
      </c>
      <c r="J135" s="90">
        <v>30</v>
      </c>
      <c r="K135" s="92">
        <f t="shared" si="15"/>
        <v>0</v>
      </c>
      <c r="L135" s="92">
        <f t="shared" si="18"/>
        <v>0</v>
      </c>
    </row>
    <row r="136" spans="1:12" x14ac:dyDescent="0.2">
      <c r="A136" s="90" t="s">
        <v>297</v>
      </c>
      <c r="B136" s="291" t="s">
        <v>649</v>
      </c>
      <c r="C136" s="90">
        <v>1</v>
      </c>
      <c r="D136" s="92">
        <f t="shared" si="19"/>
        <v>39496</v>
      </c>
      <c r="E136" s="92">
        <v>19748</v>
      </c>
      <c r="F136" s="92"/>
      <c r="G136" s="92">
        <v>4937</v>
      </c>
      <c r="H136" s="90">
        <v>30</v>
      </c>
      <c r="I136" s="92">
        <f t="shared" si="17"/>
        <v>7405.5</v>
      </c>
      <c r="J136" s="90">
        <v>30</v>
      </c>
      <c r="K136" s="92">
        <f t="shared" si="15"/>
        <v>7405.5</v>
      </c>
      <c r="L136" s="92">
        <f t="shared" si="18"/>
        <v>473952</v>
      </c>
    </row>
    <row r="137" spans="1:12" x14ac:dyDescent="0.2">
      <c r="A137" s="90" t="s">
        <v>401</v>
      </c>
      <c r="B137" s="291" t="s">
        <v>650</v>
      </c>
      <c r="C137" s="90">
        <v>1</v>
      </c>
      <c r="D137" s="92">
        <f t="shared" si="19"/>
        <v>9886</v>
      </c>
      <c r="E137" s="92">
        <v>4943</v>
      </c>
      <c r="F137" s="92"/>
      <c r="G137" s="92">
        <v>1235.75</v>
      </c>
      <c r="H137" s="90">
        <v>30</v>
      </c>
      <c r="I137" s="92">
        <f t="shared" si="17"/>
        <v>1853.625</v>
      </c>
      <c r="J137" s="90">
        <v>30</v>
      </c>
      <c r="K137" s="92">
        <f t="shared" si="15"/>
        <v>1853.625</v>
      </c>
      <c r="L137" s="92">
        <f t="shared" si="18"/>
        <v>118632</v>
      </c>
    </row>
    <row r="138" spans="1:12" ht="25.5" x14ac:dyDescent="0.2">
      <c r="A138" s="90" t="s">
        <v>402</v>
      </c>
      <c r="B138" s="291" t="s">
        <v>652</v>
      </c>
      <c r="C138" s="90">
        <v>1</v>
      </c>
      <c r="D138" s="92">
        <f t="shared" si="19"/>
        <v>7698</v>
      </c>
      <c r="E138" s="92">
        <v>3849</v>
      </c>
      <c r="F138" s="92"/>
      <c r="G138" s="92">
        <v>962.25</v>
      </c>
      <c r="H138" s="90">
        <v>30</v>
      </c>
      <c r="I138" s="92">
        <f t="shared" si="17"/>
        <v>1443.375</v>
      </c>
      <c r="J138" s="90">
        <v>30</v>
      </c>
      <c r="K138" s="92">
        <f t="shared" si="15"/>
        <v>1443.375</v>
      </c>
      <c r="L138" s="92">
        <f t="shared" si="18"/>
        <v>92376</v>
      </c>
    </row>
    <row r="139" spans="1:12" x14ac:dyDescent="0.2">
      <c r="A139" s="90" t="s">
        <v>298</v>
      </c>
      <c r="B139" s="291" t="s">
        <v>651</v>
      </c>
      <c r="C139" s="90">
        <v>1</v>
      </c>
      <c r="D139" s="92">
        <f t="shared" si="19"/>
        <v>8106</v>
      </c>
      <c r="E139" s="92">
        <v>4053</v>
      </c>
      <c r="F139" s="92"/>
      <c r="G139" s="92">
        <v>1013.25</v>
      </c>
      <c r="H139" s="90">
        <v>30</v>
      </c>
      <c r="I139" s="92">
        <f t="shared" si="17"/>
        <v>1519.875</v>
      </c>
      <c r="J139" s="90">
        <v>30</v>
      </c>
      <c r="K139" s="92">
        <f t="shared" si="15"/>
        <v>1519.875</v>
      </c>
      <c r="L139" s="92">
        <f t="shared" si="18"/>
        <v>97272</v>
      </c>
    </row>
    <row r="140" spans="1:12" ht="25.5" x14ac:dyDescent="0.2">
      <c r="A140" s="90" t="s">
        <v>554</v>
      </c>
      <c r="B140" s="291" t="s">
        <v>653</v>
      </c>
      <c r="C140" s="90">
        <v>1</v>
      </c>
      <c r="D140" s="92">
        <f t="shared" si="19"/>
        <v>39496</v>
      </c>
      <c r="E140" s="92">
        <v>19748</v>
      </c>
      <c r="F140" s="92"/>
      <c r="G140" s="92">
        <v>4937</v>
      </c>
      <c r="H140" s="90">
        <v>30</v>
      </c>
      <c r="I140" s="92">
        <f t="shared" si="17"/>
        <v>7405.5</v>
      </c>
      <c r="J140" s="90">
        <v>30</v>
      </c>
      <c r="K140" s="92">
        <f t="shared" si="15"/>
        <v>7405.5</v>
      </c>
      <c r="L140" s="92">
        <f t="shared" si="18"/>
        <v>473952</v>
      </c>
    </row>
    <row r="141" spans="1:12" x14ac:dyDescent="0.2">
      <c r="A141" s="90" t="s">
        <v>404</v>
      </c>
      <c r="B141" s="291" t="s">
        <v>654</v>
      </c>
      <c r="C141" s="90">
        <v>5.25</v>
      </c>
      <c r="D141" s="92">
        <f>E141+F141+G141+I141+K141</f>
        <v>8276.32</v>
      </c>
      <c r="E141" s="92">
        <v>4498</v>
      </c>
      <c r="F141" s="92"/>
      <c r="G141" s="92">
        <v>674.7</v>
      </c>
      <c r="H141" s="90">
        <v>30</v>
      </c>
      <c r="I141" s="92">
        <f t="shared" si="17"/>
        <v>1551.81</v>
      </c>
      <c r="J141" s="90">
        <v>30</v>
      </c>
      <c r="K141" s="92">
        <f t="shared" si="15"/>
        <v>1551.81</v>
      </c>
      <c r="L141" s="92">
        <f t="shared" si="18"/>
        <v>521408.16000000003</v>
      </c>
    </row>
    <row r="142" spans="1:12" x14ac:dyDescent="0.2">
      <c r="A142" s="90" t="s">
        <v>291</v>
      </c>
      <c r="B142" s="291" t="s">
        <v>655</v>
      </c>
      <c r="C142" s="90">
        <v>1.5</v>
      </c>
      <c r="D142" s="92">
        <f t="shared" ref="D142:D143" si="20">E142+F142+G142+I142+K142</f>
        <v>27374.400000000001</v>
      </c>
      <c r="E142" s="92">
        <v>9505</v>
      </c>
      <c r="F142" s="92"/>
      <c r="G142" s="92">
        <v>7604</v>
      </c>
      <c r="H142" s="90">
        <v>30</v>
      </c>
      <c r="I142" s="92">
        <f>(E142+F142+G142)*H142/100</f>
        <v>5132.7</v>
      </c>
      <c r="J142" s="90">
        <v>30</v>
      </c>
      <c r="K142" s="92">
        <f t="shared" si="15"/>
        <v>5132.7</v>
      </c>
      <c r="L142" s="92">
        <f>(D142*C142)*12</f>
        <v>492739.20000000007</v>
      </c>
    </row>
    <row r="143" spans="1:12" ht="25.5" x14ac:dyDescent="0.2">
      <c r="A143" s="90" t="s">
        <v>688</v>
      </c>
      <c r="B143" s="291" t="s">
        <v>656</v>
      </c>
      <c r="C143" s="90">
        <v>1</v>
      </c>
      <c r="D143" s="92">
        <f t="shared" si="20"/>
        <v>8106</v>
      </c>
      <c r="E143" s="92">
        <v>4053</v>
      </c>
      <c r="F143" s="92"/>
      <c r="G143" s="92">
        <v>1013.25</v>
      </c>
      <c r="H143" s="90">
        <v>30</v>
      </c>
      <c r="I143" s="92">
        <f>(E143+F143+G143)*H143/100</f>
        <v>1519.875</v>
      </c>
      <c r="J143" s="90">
        <v>30</v>
      </c>
      <c r="K143" s="92">
        <f t="shared" si="15"/>
        <v>1519.875</v>
      </c>
      <c r="L143" s="92">
        <f>(D143*C143)*12</f>
        <v>97272</v>
      </c>
    </row>
    <row r="144" spans="1:12" ht="25.5" x14ac:dyDescent="0.2">
      <c r="A144" s="90" t="s">
        <v>403</v>
      </c>
      <c r="B144" s="291" t="s">
        <v>657</v>
      </c>
      <c r="C144" s="90">
        <v>0.5</v>
      </c>
      <c r="D144" s="92">
        <f>E144+F144+G144+I144+K144</f>
        <v>8304.24</v>
      </c>
      <c r="E144" s="92">
        <v>4943</v>
      </c>
      <c r="F144" s="92"/>
      <c r="G144" s="92">
        <v>247.15</v>
      </c>
      <c r="H144" s="90">
        <v>30</v>
      </c>
      <c r="I144" s="92">
        <f t="shared" ref="I144:I145" si="21">(E144+F144+G144)*H144/100</f>
        <v>1557.0450000000001</v>
      </c>
      <c r="J144" s="90">
        <v>30</v>
      </c>
      <c r="K144" s="92">
        <f t="shared" si="15"/>
        <v>1557.0450000000001</v>
      </c>
      <c r="L144" s="92">
        <f>D144*C144*12</f>
        <v>49825.440000000002</v>
      </c>
    </row>
    <row r="145" spans="1:13" ht="38.25" x14ac:dyDescent="0.2">
      <c r="A145" s="90" t="s">
        <v>616</v>
      </c>
      <c r="B145" s="291" t="s">
        <v>658</v>
      </c>
      <c r="C145" s="90"/>
      <c r="D145" s="92">
        <f>G145+I145+K145</f>
        <v>66436.607999999993</v>
      </c>
      <c r="E145" s="92"/>
      <c r="F145" s="92"/>
      <c r="G145" s="92">
        <v>41522.879999999997</v>
      </c>
      <c r="H145" s="90">
        <v>30</v>
      </c>
      <c r="I145" s="92">
        <f t="shared" si="21"/>
        <v>12456.864</v>
      </c>
      <c r="J145" s="90">
        <v>30</v>
      </c>
      <c r="K145" s="92">
        <f t="shared" si="15"/>
        <v>12456.864</v>
      </c>
      <c r="L145" s="92">
        <f>D145*12</f>
        <v>797239.29599999986</v>
      </c>
    </row>
    <row r="146" spans="1:13" ht="25.5" x14ac:dyDescent="0.2">
      <c r="A146" s="90" t="s">
        <v>299</v>
      </c>
      <c r="B146" s="291" t="s">
        <v>659</v>
      </c>
      <c r="C146" s="90"/>
      <c r="D146" s="92">
        <f>G146+I146+K146</f>
        <v>268317.16800000001</v>
      </c>
      <c r="E146" s="92"/>
      <c r="F146" s="92"/>
      <c r="G146" s="92">
        <v>167698.23000000001</v>
      </c>
      <c r="H146" s="90">
        <v>30</v>
      </c>
      <c r="I146" s="92">
        <f>(E146+F146+G146)*H146/100</f>
        <v>50309.469000000005</v>
      </c>
      <c r="J146" s="90">
        <v>30</v>
      </c>
      <c r="K146" s="92">
        <f t="shared" si="15"/>
        <v>50309.469000000005</v>
      </c>
      <c r="L146" s="92">
        <f>D146*12</f>
        <v>3219806.0159999998</v>
      </c>
    </row>
    <row r="147" spans="1:13" x14ac:dyDescent="0.2">
      <c r="A147" s="90" t="s">
        <v>300</v>
      </c>
      <c r="B147" s="291" t="s">
        <v>660</v>
      </c>
      <c r="C147" s="90"/>
      <c r="D147" s="92">
        <f>E147+F147+G147+I147+K147</f>
        <v>127602.83200000001</v>
      </c>
      <c r="E147" s="92"/>
      <c r="F147" s="92"/>
      <c r="G147" s="92">
        <v>79751.77</v>
      </c>
      <c r="H147" s="90">
        <v>30</v>
      </c>
      <c r="I147" s="92">
        <f>(E147+F147+G147)*H147/100</f>
        <v>23925.531000000003</v>
      </c>
      <c r="J147" s="90">
        <v>30</v>
      </c>
      <c r="K147" s="92">
        <f t="shared" si="15"/>
        <v>23925.531000000003</v>
      </c>
      <c r="L147" s="92">
        <f>D147*12</f>
        <v>1531233.9840000002</v>
      </c>
      <c r="M147" s="104"/>
    </row>
    <row r="148" spans="1:13" x14ac:dyDescent="0.2">
      <c r="A148" s="90" t="s">
        <v>137</v>
      </c>
      <c r="B148" s="289">
        <v>9000</v>
      </c>
      <c r="C148" s="250">
        <f>C131+C132+C133+C134+C136+C137+C138+C139+C140+C141+C142+C143+C135+C144</f>
        <v>18</v>
      </c>
      <c r="D148" s="92">
        <f>SUM(D131:D147)</f>
        <v>787610.2080000001</v>
      </c>
      <c r="E148" s="92">
        <f>SUM(E131:E147)</f>
        <v>162755</v>
      </c>
      <c r="F148" s="92">
        <f>SUM(F131:F147)</f>
        <v>0</v>
      </c>
      <c r="G148" s="92">
        <f>SUM(G131:G147)</f>
        <v>329501.38</v>
      </c>
      <c r="H148" s="92"/>
      <c r="I148" s="92">
        <f>SUM(I131:I147)</f>
        <v>147676.91399999999</v>
      </c>
      <c r="J148" s="92"/>
      <c r="K148" s="92">
        <f>SUM(K131:K147)</f>
        <v>147676.91399999999</v>
      </c>
      <c r="L148" s="92">
        <f>SUM(L131:L147)-0.02</f>
        <v>10400173.996000003</v>
      </c>
      <c r="M148" s="104">
        <v>10400174</v>
      </c>
    </row>
    <row r="150" spans="1:13" hidden="1" x14ac:dyDescent="0.2">
      <c r="A150" s="3" t="s">
        <v>345</v>
      </c>
    </row>
    <row r="151" spans="1:13" ht="77.25" hidden="1" customHeight="1" x14ac:dyDescent="0.2">
      <c r="A151" s="289" t="s">
        <v>411</v>
      </c>
      <c r="B151" s="289" t="s">
        <v>1</v>
      </c>
      <c r="C151" s="289" t="s">
        <v>320</v>
      </c>
      <c r="D151" s="289" t="s">
        <v>321</v>
      </c>
    </row>
    <row r="152" spans="1:13" ht="25.5" hidden="1" x14ac:dyDescent="0.2">
      <c r="A152" s="90" t="s">
        <v>367</v>
      </c>
      <c r="B152" s="90">
        <v>1</v>
      </c>
      <c r="C152" s="34">
        <f>D152/9</f>
        <v>0</v>
      </c>
      <c r="D152" s="29"/>
    </row>
    <row r="153" spans="1:13" ht="38.25" hidden="1" x14ac:dyDescent="0.2">
      <c r="A153" s="90" t="s">
        <v>368</v>
      </c>
      <c r="B153" s="90">
        <v>2</v>
      </c>
      <c r="C153" s="34">
        <f>D153/9</f>
        <v>0</v>
      </c>
      <c r="D153" s="29"/>
    </row>
    <row r="154" spans="1:13" hidden="1" x14ac:dyDescent="0.2">
      <c r="A154" s="90" t="s">
        <v>520</v>
      </c>
      <c r="B154" s="90">
        <v>3</v>
      </c>
      <c r="C154" s="34">
        <f>D154/9</f>
        <v>0</v>
      </c>
      <c r="D154" s="130"/>
      <c r="L154" s="79"/>
    </row>
    <row r="155" spans="1:13" ht="51" hidden="1" x14ac:dyDescent="0.2">
      <c r="A155" s="90" t="s">
        <v>521</v>
      </c>
      <c r="B155" s="90">
        <v>4</v>
      </c>
      <c r="C155" s="34">
        <f>D155/12</f>
        <v>0</v>
      </c>
      <c r="D155" s="130"/>
    </row>
    <row r="156" spans="1:13" hidden="1" x14ac:dyDescent="0.2">
      <c r="A156" s="11" t="s">
        <v>322</v>
      </c>
      <c r="B156" s="11">
        <v>9000</v>
      </c>
      <c r="C156" s="11"/>
      <c r="D156" s="39">
        <f>SUM(D152:D153)+D154+D155</f>
        <v>0</v>
      </c>
    </row>
    <row r="157" spans="1:13" x14ac:dyDescent="0.2">
      <c r="A157" s="3" t="s">
        <v>455</v>
      </c>
      <c r="K157" s="47"/>
    </row>
    <row r="158" spans="1:13" ht="38.25" x14ac:dyDescent="0.2">
      <c r="A158" s="36" t="s">
        <v>0</v>
      </c>
      <c r="B158" s="11" t="s">
        <v>418</v>
      </c>
      <c r="C158" s="36" t="s">
        <v>413</v>
      </c>
      <c r="D158" s="36" t="s">
        <v>414</v>
      </c>
      <c r="E158" s="11" t="s">
        <v>415</v>
      </c>
      <c r="F158" s="36" t="s">
        <v>416</v>
      </c>
      <c r="G158" s="36" t="s">
        <v>417</v>
      </c>
      <c r="K158" s="47"/>
      <c r="M158" s="3" t="s">
        <v>534</v>
      </c>
    </row>
    <row r="159" spans="1:13" ht="38.25" x14ac:dyDescent="0.2">
      <c r="A159" s="36" t="s">
        <v>412</v>
      </c>
      <c r="B159" s="268" t="s">
        <v>645</v>
      </c>
      <c r="C159" s="55">
        <v>638341.19999999995</v>
      </c>
      <c r="D159" s="55">
        <v>2</v>
      </c>
      <c r="E159" s="55">
        <v>12758.8</v>
      </c>
      <c r="F159" s="55">
        <f>E159-G159</f>
        <v>2959.41</v>
      </c>
      <c r="G159" s="56">
        <v>9799.39</v>
      </c>
      <c r="M159" s="124"/>
    </row>
    <row r="160" spans="1:13" x14ac:dyDescent="0.2">
      <c r="A160" s="11" t="s">
        <v>137</v>
      </c>
      <c r="B160" s="11">
        <v>9000</v>
      </c>
      <c r="C160" s="37"/>
      <c r="D160" s="11"/>
      <c r="E160" s="11"/>
      <c r="F160" s="11"/>
      <c r="G160" s="55">
        <f>G159</f>
        <v>9799.39</v>
      </c>
    </row>
    <row r="162" spans="1:12" ht="16.5" customHeight="1" x14ac:dyDescent="0.2">
      <c r="A162" s="340" t="s">
        <v>696</v>
      </c>
      <c r="B162" s="340"/>
      <c r="C162" s="340"/>
      <c r="D162" s="340"/>
      <c r="E162" s="340"/>
      <c r="F162" s="340"/>
      <c r="G162" s="340"/>
      <c r="H162" s="340"/>
      <c r="I162" s="340"/>
      <c r="J162" s="340"/>
      <c r="K162" s="340"/>
      <c r="L162" s="340"/>
    </row>
    <row r="163" spans="1:12" x14ac:dyDescent="0.2">
      <c r="A163" s="3" t="s">
        <v>452</v>
      </c>
    </row>
    <row r="164" spans="1:12" ht="12.75" customHeight="1" x14ac:dyDescent="0.2">
      <c r="A164" s="343" t="s">
        <v>182</v>
      </c>
      <c r="B164" s="343" t="s">
        <v>1</v>
      </c>
      <c r="C164" s="343" t="s">
        <v>183</v>
      </c>
      <c r="D164" s="343" t="s">
        <v>184</v>
      </c>
      <c r="E164" s="343"/>
      <c r="F164" s="343"/>
      <c r="G164" s="343"/>
      <c r="H164" s="343"/>
      <c r="I164" s="343"/>
      <c r="J164" s="343"/>
      <c r="K164" s="343"/>
      <c r="L164" s="343" t="s">
        <v>185</v>
      </c>
    </row>
    <row r="165" spans="1:12" ht="12.75" customHeight="1" x14ac:dyDescent="0.2">
      <c r="A165" s="343"/>
      <c r="B165" s="343"/>
      <c r="C165" s="343"/>
      <c r="D165" s="343" t="s">
        <v>186</v>
      </c>
      <c r="E165" s="343" t="s">
        <v>15</v>
      </c>
      <c r="F165" s="343"/>
      <c r="G165" s="343"/>
      <c r="H165" s="343"/>
      <c r="I165" s="343"/>
      <c r="J165" s="343"/>
      <c r="K165" s="343"/>
      <c r="L165" s="343"/>
    </row>
    <row r="166" spans="1:12" ht="33" customHeight="1" x14ac:dyDescent="0.2">
      <c r="A166" s="343"/>
      <c r="B166" s="343"/>
      <c r="C166" s="343"/>
      <c r="D166" s="343"/>
      <c r="E166" s="343" t="s">
        <v>187</v>
      </c>
      <c r="F166" s="343" t="s">
        <v>188</v>
      </c>
      <c r="G166" s="343" t="s">
        <v>189</v>
      </c>
      <c r="H166" s="343" t="s">
        <v>190</v>
      </c>
      <c r="I166" s="343"/>
      <c r="J166" s="343" t="s">
        <v>191</v>
      </c>
      <c r="K166" s="343"/>
      <c r="L166" s="343"/>
    </row>
    <row r="167" spans="1:12" ht="38.25" x14ac:dyDescent="0.2">
      <c r="A167" s="343"/>
      <c r="B167" s="343"/>
      <c r="C167" s="343"/>
      <c r="D167" s="343"/>
      <c r="E167" s="343"/>
      <c r="F167" s="343"/>
      <c r="G167" s="343"/>
      <c r="H167" s="289" t="s">
        <v>192</v>
      </c>
      <c r="I167" s="289" t="s">
        <v>193</v>
      </c>
      <c r="J167" s="289" t="s">
        <v>192</v>
      </c>
      <c r="K167" s="289" t="s">
        <v>194</v>
      </c>
      <c r="L167" s="343"/>
    </row>
    <row r="168" spans="1:12" x14ac:dyDescent="0.2">
      <c r="A168" s="289">
        <v>1</v>
      </c>
      <c r="B168" s="289">
        <v>2</v>
      </c>
      <c r="C168" s="289">
        <v>3</v>
      </c>
      <c r="D168" s="289">
        <v>4</v>
      </c>
      <c r="E168" s="289">
        <v>5</v>
      </c>
      <c r="F168" s="289">
        <v>6</v>
      </c>
      <c r="G168" s="289">
        <v>7</v>
      </c>
      <c r="H168" s="289">
        <v>8</v>
      </c>
      <c r="I168" s="289">
        <v>9</v>
      </c>
      <c r="J168" s="289">
        <v>10</v>
      </c>
      <c r="K168" s="289">
        <v>11</v>
      </c>
      <c r="L168" s="289">
        <v>12</v>
      </c>
    </row>
    <row r="169" spans="1:12" ht="25.5" x14ac:dyDescent="0.2">
      <c r="A169" s="90" t="s">
        <v>496</v>
      </c>
      <c r="B169" s="291" t="s">
        <v>645</v>
      </c>
      <c r="C169" s="90">
        <v>1</v>
      </c>
      <c r="D169" s="92">
        <f>E169+F169+G169+I169+K169</f>
        <v>17489.2</v>
      </c>
      <c r="E169" s="92">
        <v>9505</v>
      </c>
      <c r="F169" s="92"/>
      <c r="G169" s="92">
        <v>1425.75</v>
      </c>
      <c r="H169" s="90">
        <v>30</v>
      </c>
      <c r="I169" s="92">
        <f>(E169+F169+G169)*H169/100</f>
        <v>3279.2249999999999</v>
      </c>
      <c r="J169" s="90">
        <v>30</v>
      </c>
      <c r="K169" s="92">
        <f>(E169+F169+G169)*J169/100</f>
        <v>3279.2249999999999</v>
      </c>
      <c r="L169" s="92">
        <f>C169*D169*12</f>
        <v>209870.40000000002</v>
      </c>
    </row>
    <row r="170" spans="1:12" x14ac:dyDescent="0.2">
      <c r="A170" s="90" t="s">
        <v>498</v>
      </c>
      <c r="B170" s="291" t="s">
        <v>646</v>
      </c>
      <c r="C170" s="90">
        <v>3</v>
      </c>
      <c r="D170" s="92">
        <f>E170+F170+G170+I170+K170</f>
        <v>18060.64</v>
      </c>
      <c r="E170" s="92">
        <v>8683</v>
      </c>
      <c r="F170" s="92"/>
      <c r="G170" s="92">
        <v>2604.9</v>
      </c>
      <c r="H170" s="90">
        <v>30</v>
      </c>
      <c r="I170" s="92">
        <f>(E170+F170+G170)*H170/100</f>
        <v>3386.37</v>
      </c>
      <c r="J170" s="90">
        <v>30</v>
      </c>
      <c r="K170" s="92">
        <f>(E170+F170+G170)*J170/100</f>
        <v>3386.37</v>
      </c>
      <c r="L170" s="92">
        <f>C170*D170*12</f>
        <v>650183.04</v>
      </c>
    </row>
    <row r="171" spans="1:12" x14ac:dyDescent="0.2">
      <c r="A171" s="90" t="s">
        <v>497</v>
      </c>
      <c r="B171" s="291" t="s">
        <v>647</v>
      </c>
      <c r="C171" s="90">
        <v>1.5</v>
      </c>
      <c r="D171" s="92">
        <f t="shared" ref="D171:D175" si="22">E171+F171+G171+I171+K171</f>
        <v>14583.839999999998</v>
      </c>
      <c r="E171" s="92">
        <v>7926</v>
      </c>
      <c r="F171" s="92"/>
      <c r="G171" s="92">
        <v>1188.9000000000001</v>
      </c>
      <c r="H171" s="90">
        <v>30</v>
      </c>
      <c r="I171" s="92">
        <f t="shared" ref="I171:I178" si="23">(E171+F171+G171)*H171/100</f>
        <v>2734.47</v>
      </c>
      <c r="J171" s="90">
        <v>30</v>
      </c>
      <c r="K171" s="92">
        <f t="shared" ref="K171:K173" si="24">(E171+F171+G171)*J171/100</f>
        <v>2734.47</v>
      </c>
      <c r="L171" s="92">
        <f t="shared" ref="L171:L173" si="25">C171*D171*12</f>
        <v>262509.12</v>
      </c>
    </row>
    <row r="172" spans="1:12" x14ac:dyDescent="0.2">
      <c r="A172" s="90" t="s">
        <v>286</v>
      </c>
      <c r="B172" s="291" t="s">
        <v>648</v>
      </c>
      <c r="C172" s="90">
        <v>3</v>
      </c>
      <c r="D172" s="92">
        <f t="shared" si="22"/>
        <v>19770.400000000001</v>
      </c>
      <c r="E172" s="92">
        <v>9505</v>
      </c>
      <c r="F172" s="92"/>
      <c r="G172" s="92">
        <v>2851.5</v>
      </c>
      <c r="H172" s="90">
        <v>30</v>
      </c>
      <c r="I172" s="92">
        <f t="shared" si="23"/>
        <v>3706.95</v>
      </c>
      <c r="J172" s="90">
        <v>30</v>
      </c>
      <c r="K172" s="92">
        <f t="shared" si="24"/>
        <v>3706.95</v>
      </c>
      <c r="L172" s="92">
        <f t="shared" si="25"/>
        <v>711734.4</v>
      </c>
    </row>
    <row r="173" spans="1:12" x14ac:dyDescent="0.2">
      <c r="A173" s="90" t="s">
        <v>287</v>
      </c>
      <c r="B173" s="291" t="s">
        <v>649</v>
      </c>
      <c r="C173" s="90">
        <v>1.5</v>
      </c>
      <c r="D173" s="92">
        <f t="shared" si="22"/>
        <v>21291.199999999997</v>
      </c>
      <c r="E173" s="92">
        <v>9505</v>
      </c>
      <c r="F173" s="92"/>
      <c r="G173" s="92">
        <v>3802</v>
      </c>
      <c r="H173" s="90">
        <v>30</v>
      </c>
      <c r="I173" s="92">
        <f t="shared" si="23"/>
        <v>3992.1</v>
      </c>
      <c r="J173" s="90">
        <v>30</v>
      </c>
      <c r="K173" s="92">
        <f t="shared" si="24"/>
        <v>3992.1</v>
      </c>
      <c r="L173" s="92">
        <f t="shared" si="25"/>
        <v>383241.6</v>
      </c>
    </row>
    <row r="174" spans="1:12" x14ac:dyDescent="0.2">
      <c r="A174" s="90" t="s">
        <v>288</v>
      </c>
      <c r="B174" s="291" t="s">
        <v>650</v>
      </c>
      <c r="C174" s="90">
        <v>9.2799999999999994</v>
      </c>
      <c r="D174" s="92">
        <f t="shared" si="22"/>
        <v>20018.400000000001</v>
      </c>
      <c r="E174" s="92">
        <v>8341</v>
      </c>
      <c r="F174" s="92">
        <v>1668.2</v>
      </c>
      <c r="G174" s="92">
        <v>2502.3000000000002</v>
      </c>
      <c r="H174" s="90">
        <v>30</v>
      </c>
      <c r="I174" s="92">
        <f t="shared" si="23"/>
        <v>3753.45</v>
      </c>
      <c r="J174" s="90">
        <v>30</v>
      </c>
      <c r="K174" s="92">
        <f>(E174+F174+G174)*J174/100</f>
        <v>3753.45</v>
      </c>
      <c r="L174" s="92">
        <f>C174*D174*12+42000</f>
        <v>2271249.0240000002</v>
      </c>
    </row>
    <row r="175" spans="1:12" x14ac:dyDescent="0.2">
      <c r="A175" s="90" t="s">
        <v>289</v>
      </c>
      <c r="B175" s="291" t="s">
        <v>652</v>
      </c>
      <c r="C175" s="90">
        <v>84.83</v>
      </c>
      <c r="D175" s="92">
        <f t="shared" si="22"/>
        <v>25093.199999999997</v>
      </c>
      <c r="E175" s="92">
        <v>9505</v>
      </c>
      <c r="F175" s="92">
        <v>1425.75</v>
      </c>
      <c r="G175" s="92">
        <v>4752.5</v>
      </c>
      <c r="H175" s="90">
        <v>30</v>
      </c>
      <c r="I175" s="92">
        <f t="shared" si="23"/>
        <v>4704.9750000000004</v>
      </c>
      <c r="J175" s="90">
        <v>30</v>
      </c>
      <c r="K175" s="92">
        <f>(E175+F175+G175)*J175/100</f>
        <v>4704.9750000000004</v>
      </c>
      <c r="L175" s="92">
        <f>C175*D175*12+270000</f>
        <v>25813873.871999994</v>
      </c>
    </row>
    <row r="176" spans="1:12" x14ac:dyDescent="0.2">
      <c r="A176" s="90" t="s">
        <v>687</v>
      </c>
      <c r="B176" s="291" t="s">
        <v>651</v>
      </c>
      <c r="C176" s="90">
        <v>0.3</v>
      </c>
      <c r="D176" s="92">
        <f>E176+F176+G176+I176+K176</f>
        <v>17489.2</v>
      </c>
      <c r="E176" s="92">
        <v>9505</v>
      </c>
      <c r="F176" s="92"/>
      <c r="G176" s="92">
        <v>1425.75</v>
      </c>
      <c r="H176" s="90">
        <v>30</v>
      </c>
      <c r="I176" s="92">
        <f t="shared" si="23"/>
        <v>3279.2249999999999</v>
      </c>
      <c r="J176" s="90">
        <v>30</v>
      </c>
      <c r="K176" s="92">
        <f>(E176+F176+G176)*J176/100</f>
        <v>3279.2249999999999</v>
      </c>
      <c r="L176" s="92">
        <f>C176*D176*12</f>
        <v>62961.120000000003</v>
      </c>
    </row>
    <row r="177" spans="1:13" x14ac:dyDescent="0.2">
      <c r="A177" s="90" t="s">
        <v>290</v>
      </c>
      <c r="B177" s="291" t="s">
        <v>653</v>
      </c>
      <c r="C177" s="90">
        <v>1</v>
      </c>
      <c r="D177" s="92">
        <f t="shared" ref="D177:D178" si="26">E177+F177+G177+I177+K177</f>
        <v>13315.679999999997</v>
      </c>
      <c r="E177" s="92">
        <v>7926</v>
      </c>
      <c r="F177" s="92"/>
      <c r="G177" s="92">
        <v>396.3</v>
      </c>
      <c r="H177" s="90">
        <v>30</v>
      </c>
      <c r="I177" s="92">
        <f t="shared" si="23"/>
        <v>2496.6899999999996</v>
      </c>
      <c r="J177" s="90">
        <v>30</v>
      </c>
      <c r="K177" s="92">
        <f t="shared" ref="K177:K180" si="27">(E177+F177+G177)*J177/100</f>
        <v>2496.6899999999996</v>
      </c>
      <c r="L177" s="92">
        <f>C177*D177*12</f>
        <v>159788.15999999997</v>
      </c>
    </row>
    <row r="178" spans="1:13" x14ac:dyDescent="0.2">
      <c r="A178" s="90" t="s">
        <v>615</v>
      </c>
      <c r="B178" s="291" t="s">
        <v>654</v>
      </c>
      <c r="C178" s="90">
        <v>1</v>
      </c>
      <c r="D178" s="92">
        <f t="shared" si="26"/>
        <v>14587.44</v>
      </c>
      <c r="E178" s="92">
        <v>8683</v>
      </c>
      <c r="F178" s="92"/>
      <c r="G178" s="92">
        <v>434.15</v>
      </c>
      <c r="H178" s="90">
        <v>30</v>
      </c>
      <c r="I178" s="92">
        <f t="shared" si="23"/>
        <v>2735.145</v>
      </c>
      <c r="J178" s="90">
        <v>30</v>
      </c>
      <c r="K178" s="92">
        <f t="shared" si="27"/>
        <v>2735.145</v>
      </c>
      <c r="L178" s="92">
        <f>C178*D178*12</f>
        <v>175049.28</v>
      </c>
    </row>
    <row r="179" spans="1:13" ht="25.5" x14ac:dyDescent="0.2">
      <c r="A179" s="90" t="s">
        <v>292</v>
      </c>
      <c r="B179" s="291" t="s">
        <v>655</v>
      </c>
      <c r="C179" s="90"/>
      <c r="D179" s="92">
        <f>E179+F179+G179+I179+K179</f>
        <v>412982.46399999998</v>
      </c>
      <c r="E179" s="92"/>
      <c r="F179" s="92"/>
      <c r="G179" s="92">
        <v>258114.04</v>
      </c>
      <c r="H179" s="90">
        <v>30</v>
      </c>
      <c r="I179" s="92">
        <f>(E179+F179+G179)*H179/100</f>
        <v>77434.212</v>
      </c>
      <c r="J179" s="90">
        <v>30</v>
      </c>
      <c r="K179" s="92">
        <f t="shared" si="27"/>
        <v>77434.212</v>
      </c>
      <c r="L179" s="92">
        <f>D179*12</f>
        <v>4955789.568</v>
      </c>
    </row>
    <row r="180" spans="1:13" x14ac:dyDescent="0.2">
      <c r="A180" s="90" t="s">
        <v>300</v>
      </c>
      <c r="B180" s="291" t="s">
        <v>656</v>
      </c>
      <c r="C180" s="90"/>
      <c r="D180" s="92">
        <f>E180+F180+G180+I180+K180</f>
        <v>176425.12</v>
      </c>
      <c r="E180" s="92"/>
      <c r="F180" s="92"/>
      <c r="G180" s="92">
        <v>110265.7</v>
      </c>
      <c r="H180" s="90">
        <v>30</v>
      </c>
      <c r="I180" s="92">
        <f>(E180+F180+G180)*H180/100</f>
        <v>33079.71</v>
      </c>
      <c r="J180" s="90">
        <v>30</v>
      </c>
      <c r="K180" s="92">
        <f t="shared" si="27"/>
        <v>33079.71</v>
      </c>
      <c r="L180" s="92">
        <f>D180*12</f>
        <v>2117101.44</v>
      </c>
    </row>
    <row r="181" spans="1:13" x14ac:dyDescent="0.2">
      <c r="A181" s="90" t="s">
        <v>137</v>
      </c>
      <c r="B181" s="289">
        <v>9000</v>
      </c>
      <c r="C181" s="250">
        <f>C169+C170+C171+C172+C173+C174+C175+C176+C177+C179</f>
        <v>105.41</v>
      </c>
      <c r="D181" s="92">
        <f>SUM(D169:D180)</f>
        <v>771106.78399999999</v>
      </c>
      <c r="E181" s="92">
        <f>SUM(E169:E180)</f>
        <v>89084</v>
      </c>
      <c r="F181" s="92">
        <f>SUM(F169:F180)</f>
        <v>3093.95</v>
      </c>
      <c r="G181" s="92">
        <f>SUM(G169:G180)</f>
        <v>389763.79000000004</v>
      </c>
      <c r="H181" s="92"/>
      <c r="I181" s="92">
        <f>SUM(I169:I180)</f>
        <v>144582.522</v>
      </c>
      <c r="J181" s="92"/>
      <c r="K181" s="92">
        <f>SUM(K169:K180)</f>
        <v>144582.522</v>
      </c>
      <c r="L181" s="92">
        <f>SUM(L169:L180)-0.02</f>
        <v>37773351.003999986</v>
      </c>
      <c r="M181" s="104">
        <v>37773351</v>
      </c>
    </row>
    <row r="183" spans="1:13" x14ac:dyDescent="0.2">
      <c r="A183" s="3" t="s">
        <v>452</v>
      </c>
    </row>
    <row r="184" spans="1:13" ht="12.75" customHeight="1" x14ac:dyDescent="0.2">
      <c r="A184" s="343" t="s">
        <v>182</v>
      </c>
      <c r="B184" s="343" t="s">
        <v>1</v>
      </c>
      <c r="C184" s="343" t="s">
        <v>183</v>
      </c>
      <c r="D184" s="343" t="s">
        <v>184</v>
      </c>
      <c r="E184" s="343"/>
      <c r="F184" s="343"/>
      <c r="G184" s="343"/>
      <c r="H184" s="343"/>
      <c r="I184" s="343"/>
      <c r="J184" s="343"/>
      <c r="K184" s="343"/>
      <c r="L184" s="343" t="s">
        <v>185</v>
      </c>
    </row>
    <row r="185" spans="1:13" ht="12.75" customHeight="1" x14ac:dyDescent="0.2">
      <c r="A185" s="343"/>
      <c r="B185" s="343"/>
      <c r="C185" s="343"/>
      <c r="D185" s="343" t="s">
        <v>186</v>
      </c>
      <c r="E185" s="343" t="s">
        <v>15</v>
      </c>
      <c r="F185" s="343"/>
      <c r="G185" s="343"/>
      <c r="H185" s="343"/>
      <c r="I185" s="343"/>
      <c r="J185" s="343"/>
      <c r="K185" s="343"/>
      <c r="L185" s="343"/>
    </row>
    <row r="186" spans="1:13" ht="12.75" customHeight="1" x14ac:dyDescent="0.2">
      <c r="A186" s="343"/>
      <c r="B186" s="343"/>
      <c r="C186" s="343"/>
      <c r="D186" s="343"/>
      <c r="E186" s="343" t="s">
        <v>187</v>
      </c>
      <c r="F186" s="343" t="s">
        <v>188</v>
      </c>
      <c r="G186" s="343" t="s">
        <v>189</v>
      </c>
      <c r="H186" s="343" t="s">
        <v>190</v>
      </c>
      <c r="I186" s="343"/>
      <c r="J186" s="343" t="s">
        <v>191</v>
      </c>
      <c r="K186" s="343"/>
      <c r="L186" s="343"/>
    </row>
    <row r="187" spans="1:13" ht="38.25" x14ac:dyDescent="0.2">
      <c r="A187" s="343"/>
      <c r="B187" s="343"/>
      <c r="C187" s="343"/>
      <c r="D187" s="343"/>
      <c r="E187" s="343"/>
      <c r="F187" s="343"/>
      <c r="G187" s="343"/>
      <c r="H187" s="289" t="s">
        <v>192</v>
      </c>
      <c r="I187" s="289" t="s">
        <v>193</v>
      </c>
      <c r="J187" s="289" t="s">
        <v>192</v>
      </c>
      <c r="K187" s="289" t="s">
        <v>194</v>
      </c>
      <c r="L187" s="343"/>
    </row>
    <row r="188" spans="1:13" x14ac:dyDescent="0.2">
      <c r="A188" s="289">
        <v>1</v>
      </c>
      <c r="B188" s="289">
        <v>2</v>
      </c>
      <c r="C188" s="289">
        <v>3</v>
      </c>
      <c r="D188" s="289">
        <v>4</v>
      </c>
      <c r="E188" s="289">
        <v>5</v>
      </c>
      <c r="F188" s="289">
        <v>6</v>
      </c>
      <c r="G188" s="289">
        <v>7</v>
      </c>
      <c r="H188" s="289">
        <v>8</v>
      </c>
      <c r="I188" s="289">
        <v>9</v>
      </c>
      <c r="J188" s="289">
        <v>10</v>
      </c>
      <c r="K188" s="289">
        <v>11</v>
      </c>
      <c r="L188" s="289">
        <v>12</v>
      </c>
    </row>
    <row r="189" spans="1:13" ht="25.5" x14ac:dyDescent="0.2">
      <c r="A189" s="90" t="s">
        <v>293</v>
      </c>
      <c r="B189" s="291" t="s">
        <v>645</v>
      </c>
      <c r="C189" s="90">
        <v>0.75</v>
      </c>
      <c r="D189" s="92">
        <f>E189+F189+G189+I189+K189</f>
        <v>13918</v>
      </c>
      <c r="E189" s="92">
        <v>6959</v>
      </c>
      <c r="F189" s="92"/>
      <c r="G189" s="92">
        <v>1739.75</v>
      </c>
      <c r="H189" s="90">
        <v>30</v>
      </c>
      <c r="I189" s="92">
        <f>(E189+F189+G189)*H189/100</f>
        <v>2609.625</v>
      </c>
      <c r="J189" s="90">
        <v>30</v>
      </c>
      <c r="K189" s="92">
        <f>(E189+F189+G189)*J189/100</f>
        <v>2609.625</v>
      </c>
      <c r="L189" s="92">
        <f>D189*C189*12</f>
        <v>125262</v>
      </c>
    </row>
    <row r="190" spans="1:13" ht="25.5" x14ac:dyDescent="0.2">
      <c r="A190" s="90" t="s">
        <v>293</v>
      </c>
      <c r="B190" s="291" t="s">
        <v>646</v>
      </c>
      <c r="C190" s="90">
        <v>4</v>
      </c>
      <c r="D190" s="92">
        <f>E190+F190+G190+I190+K190</f>
        <v>15852</v>
      </c>
      <c r="E190" s="92">
        <v>7926</v>
      </c>
      <c r="F190" s="92"/>
      <c r="G190" s="92">
        <v>1981.5</v>
      </c>
      <c r="H190" s="90">
        <v>30</v>
      </c>
      <c r="I190" s="92">
        <f>(E190+F190+G190)*H190/100</f>
        <v>2972.25</v>
      </c>
      <c r="J190" s="90">
        <v>30</v>
      </c>
      <c r="K190" s="92">
        <f>(E190+F190+G190)*J190/100</f>
        <v>2972.25</v>
      </c>
      <c r="L190" s="92">
        <f>C190*D190*12</f>
        <v>760896</v>
      </c>
    </row>
    <row r="191" spans="1:13" x14ac:dyDescent="0.2">
      <c r="A191" s="90" t="s">
        <v>606</v>
      </c>
      <c r="B191" s="291" t="s">
        <v>647</v>
      </c>
      <c r="C191" s="90"/>
      <c r="D191" s="92">
        <f>E191+F191+G191+I191+K191</f>
        <v>0</v>
      </c>
      <c r="E191" s="92"/>
      <c r="F191" s="92"/>
      <c r="G191" s="92"/>
      <c r="H191" s="90">
        <v>30</v>
      </c>
      <c r="I191" s="92">
        <f>(E191+F191+G191)*H191/100</f>
        <v>0</v>
      </c>
      <c r="J191" s="90">
        <v>30</v>
      </c>
      <c r="K191" s="92">
        <f>(E191+F191+G191)*J191/100</f>
        <v>0</v>
      </c>
      <c r="L191" s="92">
        <f>D191*12</f>
        <v>0</v>
      </c>
    </row>
    <row r="192" spans="1:13" x14ac:dyDescent="0.2">
      <c r="A192" s="90" t="s">
        <v>300</v>
      </c>
      <c r="B192" s="291" t="s">
        <v>648</v>
      </c>
      <c r="C192" s="90"/>
      <c r="D192" s="92">
        <f>E192+F192+G192+I192+K192</f>
        <v>37861.750400000004</v>
      </c>
      <c r="E192" s="92"/>
      <c r="F192" s="92"/>
      <c r="G192" s="92">
        <v>23663.594000000001</v>
      </c>
      <c r="H192" s="90">
        <v>30</v>
      </c>
      <c r="I192" s="92">
        <f>(E192+F192+G192)*H192/100</f>
        <v>7099.0782000000008</v>
      </c>
      <c r="J192" s="90">
        <v>30</v>
      </c>
      <c r="K192" s="92">
        <f>(E192+F192+G192)*J192/100</f>
        <v>7099.0782000000008</v>
      </c>
      <c r="L192" s="92">
        <f>D192*12</f>
        <v>454341.00480000005</v>
      </c>
      <c r="M192" s="104"/>
    </row>
    <row r="193" spans="1:13" x14ac:dyDescent="0.2">
      <c r="A193" s="90" t="s">
        <v>137</v>
      </c>
      <c r="B193" s="289">
        <v>9000</v>
      </c>
      <c r="C193" s="250">
        <f>+C190+C189</f>
        <v>4.75</v>
      </c>
      <c r="D193" s="92">
        <f>SUM(D189:D192)</f>
        <v>67631.750400000004</v>
      </c>
      <c r="E193" s="92">
        <f>SUM(E189:E192)</f>
        <v>14885</v>
      </c>
      <c r="F193" s="92">
        <f>SUM(F189:F192)</f>
        <v>0</v>
      </c>
      <c r="G193" s="92">
        <f>SUM(G189:G192)</f>
        <v>27384.844000000001</v>
      </c>
      <c r="H193" s="92"/>
      <c r="I193" s="92">
        <f>SUM(I189:I192)</f>
        <v>12680.9532</v>
      </c>
      <c r="J193" s="92"/>
      <c r="K193" s="92">
        <f>SUM(K189:K192)</f>
        <v>12680.9532</v>
      </c>
      <c r="L193" s="92">
        <f>SUM(L189:L192)+0.23</f>
        <v>1340499.2348</v>
      </c>
      <c r="M193" s="104">
        <v>1340499</v>
      </c>
    </row>
    <row r="194" spans="1:13" ht="15" hidden="1" customHeight="1" x14ac:dyDescent="0.2">
      <c r="A194" s="347" t="s">
        <v>471</v>
      </c>
      <c r="B194" s="347"/>
      <c r="C194" s="347"/>
      <c r="D194" s="347"/>
      <c r="E194" s="94"/>
      <c r="F194" s="94"/>
      <c r="G194" s="94"/>
      <c r="H194" s="94"/>
      <c r="I194" s="94"/>
      <c r="J194" s="94"/>
      <c r="K194" s="94"/>
      <c r="L194" s="94"/>
    </row>
    <row r="195" spans="1:13" ht="65.25" hidden="1" customHeight="1" x14ac:dyDescent="0.2">
      <c r="A195" s="289" t="s">
        <v>182</v>
      </c>
      <c r="B195" s="289" t="s">
        <v>1</v>
      </c>
      <c r="C195" s="289" t="s">
        <v>183</v>
      </c>
      <c r="D195" s="92" t="s">
        <v>468</v>
      </c>
      <c r="E195" s="93" t="s">
        <v>469</v>
      </c>
      <c r="F195" s="93" t="s">
        <v>470</v>
      </c>
      <c r="G195" s="92" t="s">
        <v>472</v>
      </c>
      <c r="H195" s="94"/>
      <c r="I195" s="94"/>
      <c r="J195" s="94"/>
      <c r="K195" s="94"/>
      <c r="L195" s="94"/>
    </row>
    <row r="196" spans="1:13" ht="13.5" hidden="1" customHeight="1" x14ac:dyDescent="0.2">
      <c r="A196" s="289">
        <v>1</v>
      </c>
      <c r="B196" s="289">
        <v>2</v>
      </c>
      <c r="C196" s="289">
        <v>3</v>
      </c>
      <c r="D196" s="251">
        <v>4</v>
      </c>
      <c r="E196" s="251">
        <v>5</v>
      </c>
      <c r="F196" s="251">
        <v>6</v>
      </c>
      <c r="G196" s="251">
        <v>7</v>
      </c>
      <c r="H196" s="252"/>
      <c r="I196" s="94"/>
      <c r="J196" s="94"/>
      <c r="K196" s="94"/>
      <c r="L196" s="94"/>
    </row>
    <row r="197" spans="1:13" hidden="1" x14ac:dyDescent="0.2">
      <c r="A197" s="90" t="s">
        <v>288</v>
      </c>
      <c r="B197" s="288" t="s">
        <v>645</v>
      </c>
      <c r="C197" s="289"/>
      <c r="D197" s="253">
        <v>12</v>
      </c>
      <c r="E197" s="253">
        <v>5</v>
      </c>
      <c r="F197" s="92">
        <v>7500</v>
      </c>
      <c r="G197" s="92"/>
      <c r="H197" s="94"/>
      <c r="I197" s="94"/>
      <c r="J197" s="94"/>
      <c r="K197" s="94"/>
      <c r="L197" s="94"/>
    </row>
    <row r="198" spans="1:13" hidden="1" x14ac:dyDescent="0.2">
      <c r="A198" s="90" t="s">
        <v>288</v>
      </c>
      <c r="B198" s="288" t="s">
        <v>646</v>
      </c>
      <c r="C198" s="289"/>
      <c r="D198" s="253">
        <v>12</v>
      </c>
      <c r="E198" s="253">
        <v>45</v>
      </c>
      <c r="F198" s="92">
        <v>7500</v>
      </c>
      <c r="G198" s="92"/>
      <c r="H198" s="94"/>
      <c r="I198" s="94"/>
      <c r="J198" s="94"/>
      <c r="K198" s="94"/>
      <c r="L198" s="94"/>
    </row>
    <row r="199" spans="1:13" hidden="1" x14ac:dyDescent="0.2">
      <c r="A199" s="90" t="s">
        <v>690</v>
      </c>
      <c r="B199" s="288" t="s">
        <v>647</v>
      </c>
      <c r="C199" s="289"/>
      <c r="D199" s="253">
        <v>12</v>
      </c>
      <c r="E199" s="253"/>
      <c r="F199" s="92">
        <f>G199/D199</f>
        <v>0</v>
      </c>
      <c r="G199" s="92"/>
      <c r="H199" s="94"/>
      <c r="I199" s="94"/>
      <c r="J199" s="94"/>
      <c r="K199" s="94"/>
      <c r="L199" s="94"/>
    </row>
    <row r="200" spans="1:13" hidden="1" x14ac:dyDescent="0.2">
      <c r="A200" s="90" t="s">
        <v>137</v>
      </c>
      <c r="B200" s="289">
        <v>9000</v>
      </c>
      <c r="C200" s="289">
        <f>C197+C198+C199</f>
        <v>0</v>
      </c>
      <c r="D200" s="92"/>
      <c r="E200" s="92"/>
      <c r="F200" s="92"/>
      <c r="G200" s="92">
        <f>G197+G198+G199</f>
        <v>0</v>
      </c>
      <c r="H200" s="94"/>
      <c r="I200" s="94"/>
      <c r="J200" s="94"/>
      <c r="K200" s="94"/>
      <c r="L200" s="94"/>
    </row>
    <row r="201" spans="1:13" hidden="1" x14ac:dyDescent="0.2">
      <c r="A201" s="243"/>
      <c r="B201" s="254"/>
      <c r="C201" s="254"/>
      <c r="D201" s="94"/>
      <c r="E201" s="94"/>
      <c r="F201" s="94"/>
      <c r="G201" s="94"/>
      <c r="H201" s="94"/>
      <c r="I201" s="94"/>
      <c r="J201" s="94"/>
      <c r="K201" s="94"/>
      <c r="L201" s="94"/>
    </row>
    <row r="202" spans="1:13" x14ac:dyDescent="0.2">
      <c r="A202" s="243"/>
      <c r="B202" s="254"/>
      <c r="C202" s="254"/>
      <c r="D202" s="94"/>
      <c r="E202" s="94"/>
      <c r="F202" s="94"/>
      <c r="G202" s="94"/>
      <c r="H202" s="94"/>
      <c r="I202" s="94"/>
      <c r="J202" s="94"/>
      <c r="K202" s="94"/>
      <c r="L202" s="94"/>
    </row>
    <row r="203" spans="1:13" x14ac:dyDescent="0.2">
      <c r="A203" s="3" t="s">
        <v>454</v>
      </c>
      <c r="M203" s="201" t="s">
        <v>583</v>
      </c>
    </row>
    <row r="204" spans="1:13" ht="12.75" customHeight="1" x14ac:dyDescent="0.2">
      <c r="A204" s="343" t="s">
        <v>182</v>
      </c>
      <c r="B204" s="343" t="s">
        <v>1</v>
      </c>
      <c r="C204" s="343" t="s">
        <v>183</v>
      </c>
      <c r="D204" s="343" t="s">
        <v>184</v>
      </c>
      <c r="E204" s="343"/>
      <c r="F204" s="343"/>
      <c r="G204" s="343"/>
      <c r="H204" s="343"/>
      <c r="I204" s="343"/>
      <c r="J204" s="343"/>
      <c r="K204" s="343"/>
      <c r="L204" s="343" t="s">
        <v>185</v>
      </c>
    </row>
    <row r="205" spans="1:13" ht="12.75" customHeight="1" x14ac:dyDescent="0.2">
      <c r="A205" s="343"/>
      <c r="B205" s="343"/>
      <c r="C205" s="343"/>
      <c r="D205" s="343" t="s">
        <v>186</v>
      </c>
      <c r="E205" s="343" t="s">
        <v>15</v>
      </c>
      <c r="F205" s="343"/>
      <c r="G205" s="343"/>
      <c r="H205" s="343"/>
      <c r="I205" s="343"/>
      <c r="J205" s="343"/>
      <c r="K205" s="343"/>
      <c r="L205" s="343"/>
    </row>
    <row r="206" spans="1:13" ht="12.75" customHeight="1" x14ac:dyDescent="0.2">
      <c r="A206" s="343"/>
      <c r="B206" s="343"/>
      <c r="C206" s="343"/>
      <c r="D206" s="343"/>
      <c r="E206" s="343" t="s">
        <v>187</v>
      </c>
      <c r="F206" s="343" t="s">
        <v>188</v>
      </c>
      <c r="G206" s="343" t="s">
        <v>189</v>
      </c>
      <c r="H206" s="343" t="s">
        <v>190</v>
      </c>
      <c r="I206" s="343"/>
      <c r="J206" s="343" t="s">
        <v>191</v>
      </c>
      <c r="K206" s="343"/>
      <c r="L206" s="343"/>
    </row>
    <row r="207" spans="1:13" ht="38.25" x14ac:dyDescent="0.2">
      <c r="A207" s="343"/>
      <c r="B207" s="343"/>
      <c r="C207" s="343"/>
      <c r="D207" s="343"/>
      <c r="E207" s="343"/>
      <c r="F207" s="343"/>
      <c r="G207" s="343"/>
      <c r="H207" s="289" t="s">
        <v>192</v>
      </c>
      <c r="I207" s="289" t="s">
        <v>193</v>
      </c>
      <c r="J207" s="289" t="s">
        <v>192</v>
      </c>
      <c r="K207" s="289" t="s">
        <v>194</v>
      </c>
      <c r="L207" s="343"/>
    </row>
    <row r="208" spans="1:13" x14ac:dyDescent="0.2">
      <c r="A208" s="289">
        <v>1</v>
      </c>
      <c r="B208" s="289">
        <v>2</v>
      </c>
      <c r="C208" s="289">
        <v>3</v>
      </c>
      <c r="D208" s="289">
        <v>4</v>
      </c>
      <c r="E208" s="289">
        <v>5</v>
      </c>
      <c r="F208" s="289">
        <v>6</v>
      </c>
      <c r="G208" s="289">
        <v>7</v>
      </c>
      <c r="H208" s="289">
        <v>8</v>
      </c>
      <c r="I208" s="289">
        <v>9</v>
      </c>
      <c r="J208" s="289">
        <v>10</v>
      </c>
      <c r="K208" s="289">
        <v>11</v>
      </c>
      <c r="L208" s="289">
        <v>12</v>
      </c>
    </row>
    <row r="209" spans="1:12" x14ac:dyDescent="0.2">
      <c r="A209" s="90" t="s">
        <v>405</v>
      </c>
      <c r="B209" s="291" t="s">
        <v>645</v>
      </c>
      <c r="C209" s="90">
        <v>1</v>
      </c>
      <c r="D209" s="92">
        <f>E209+F209+G209+I209+K209</f>
        <v>56342</v>
      </c>
      <c r="E209" s="92">
        <v>28171</v>
      </c>
      <c r="F209" s="92"/>
      <c r="G209" s="92">
        <v>7042.75</v>
      </c>
      <c r="H209" s="90">
        <v>30</v>
      </c>
      <c r="I209" s="92">
        <f>(E209+F209+G209)*H209/100</f>
        <v>10564.125</v>
      </c>
      <c r="J209" s="90">
        <v>30</v>
      </c>
      <c r="K209" s="92">
        <f>(E209+F209+G209)*J209/100</f>
        <v>10564.125</v>
      </c>
      <c r="L209" s="92">
        <f>D209*C209*12</f>
        <v>676104</v>
      </c>
    </row>
    <row r="210" spans="1:12" ht="25.5" x14ac:dyDescent="0.2">
      <c r="A210" s="90" t="s">
        <v>295</v>
      </c>
      <c r="B210" s="291" t="s">
        <v>646</v>
      </c>
      <c r="C210" s="90">
        <v>1</v>
      </c>
      <c r="D210" s="92">
        <f>E210+F210+G210+I210+K210</f>
        <v>39496</v>
      </c>
      <c r="E210" s="92">
        <v>19748</v>
      </c>
      <c r="F210" s="92"/>
      <c r="G210" s="92">
        <v>4937</v>
      </c>
      <c r="H210" s="90">
        <v>30</v>
      </c>
      <c r="I210" s="92">
        <f>(E210+F210+G210)*H210/100</f>
        <v>7405.5</v>
      </c>
      <c r="J210" s="90">
        <v>30</v>
      </c>
      <c r="K210" s="92">
        <f t="shared" ref="K210:K225" si="28">(E210+F210+G210)*J210/100</f>
        <v>7405.5</v>
      </c>
      <c r="L210" s="92">
        <f t="shared" ref="L210" si="29">D210*C210*12</f>
        <v>473952</v>
      </c>
    </row>
    <row r="211" spans="1:12" ht="25.5" x14ac:dyDescent="0.2">
      <c r="A211" s="90" t="s">
        <v>294</v>
      </c>
      <c r="B211" s="291" t="s">
        <v>647</v>
      </c>
      <c r="C211" s="90">
        <v>2.5</v>
      </c>
      <c r="D211" s="92">
        <f>E211+F211+G211+I211+K211</f>
        <v>39496</v>
      </c>
      <c r="E211" s="92">
        <v>19748</v>
      </c>
      <c r="F211" s="92"/>
      <c r="G211" s="92">
        <v>4937</v>
      </c>
      <c r="H211" s="90">
        <v>30</v>
      </c>
      <c r="I211" s="92">
        <f t="shared" ref="I211:I219" si="30">(E211+F211+G211)*H211/100</f>
        <v>7405.5</v>
      </c>
      <c r="J211" s="90">
        <v>30</v>
      </c>
      <c r="K211" s="92">
        <f t="shared" si="28"/>
        <v>7405.5</v>
      </c>
      <c r="L211" s="92">
        <f>D211*C211*12</f>
        <v>1184880</v>
      </c>
    </row>
    <row r="212" spans="1:12" ht="38.25" x14ac:dyDescent="0.2">
      <c r="A212" s="90" t="s">
        <v>499</v>
      </c>
      <c r="B212" s="291" t="s">
        <v>648</v>
      </c>
      <c r="C212" s="90">
        <v>0.25</v>
      </c>
      <c r="D212" s="92">
        <f>E212+F212+G212+I212+K212</f>
        <v>33176.639999999999</v>
      </c>
      <c r="E212" s="92">
        <v>19748</v>
      </c>
      <c r="F212" s="92"/>
      <c r="G212" s="92">
        <v>987.4</v>
      </c>
      <c r="H212" s="90">
        <v>30</v>
      </c>
      <c r="I212" s="92">
        <f t="shared" si="30"/>
        <v>6220.62</v>
      </c>
      <c r="J212" s="90">
        <v>30</v>
      </c>
      <c r="K212" s="92">
        <f t="shared" si="28"/>
        <v>6220.62</v>
      </c>
      <c r="L212" s="92">
        <f t="shared" ref="L212:L219" si="31">D212*C212*12</f>
        <v>99529.919999999998</v>
      </c>
    </row>
    <row r="213" spans="1:12" x14ac:dyDescent="0.2">
      <c r="A213" s="90" t="s">
        <v>296</v>
      </c>
      <c r="B213" s="291" t="s">
        <v>652</v>
      </c>
      <c r="C213" s="90"/>
      <c r="D213" s="92">
        <f t="shared" ref="D213:D218" si="32">E213+F213+G213+I213+K213</f>
        <v>0</v>
      </c>
      <c r="E213" s="92"/>
      <c r="F213" s="92"/>
      <c r="G213" s="92"/>
      <c r="H213" s="90">
        <v>30</v>
      </c>
      <c r="I213" s="92">
        <f t="shared" si="30"/>
        <v>0</v>
      </c>
      <c r="J213" s="90">
        <v>30</v>
      </c>
      <c r="K213" s="92">
        <f t="shared" si="28"/>
        <v>0</v>
      </c>
      <c r="L213" s="92">
        <f t="shared" si="31"/>
        <v>0</v>
      </c>
    </row>
    <row r="214" spans="1:12" x14ac:dyDescent="0.2">
      <c r="A214" s="90" t="s">
        <v>297</v>
      </c>
      <c r="B214" s="291" t="s">
        <v>649</v>
      </c>
      <c r="C214" s="90">
        <v>1</v>
      </c>
      <c r="D214" s="92">
        <f t="shared" si="32"/>
        <v>39496</v>
      </c>
      <c r="E214" s="92">
        <v>19748</v>
      </c>
      <c r="F214" s="92"/>
      <c r="G214" s="92">
        <v>4937</v>
      </c>
      <c r="H214" s="90">
        <v>30</v>
      </c>
      <c r="I214" s="92">
        <f t="shared" si="30"/>
        <v>7405.5</v>
      </c>
      <c r="J214" s="90">
        <v>30</v>
      </c>
      <c r="K214" s="92">
        <f t="shared" si="28"/>
        <v>7405.5</v>
      </c>
      <c r="L214" s="92">
        <f t="shared" si="31"/>
        <v>473952</v>
      </c>
    </row>
    <row r="215" spans="1:12" x14ac:dyDescent="0.2">
      <c r="A215" s="90" t="s">
        <v>401</v>
      </c>
      <c r="B215" s="291" t="s">
        <v>650</v>
      </c>
      <c r="C215" s="90">
        <v>1</v>
      </c>
      <c r="D215" s="92">
        <f t="shared" si="32"/>
        <v>9886</v>
      </c>
      <c r="E215" s="92">
        <v>4943</v>
      </c>
      <c r="F215" s="92"/>
      <c r="G215" s="92">
        <v>1235.75</v>
      </c>
      <c r="H215" s="90">
        <v>30</v>
      </c>
      <c r="I215" s="92">
        <f t="shared" si="30"/>
        <v>1853.625</v>
      </c>
      <c r="J215" s="90">
        <v>30</v>
      </c>
      <c r="K215" s="92">
        <f t="shared" si="28"/>
        <v>1853.625</v>
      </c>
      <c r="L215" s="92">
        <f t="shared" si="31"/>
        <v>118632</v>
      </c>
    </row>
    <row r="216" spans="1:12" ht="25.5" x14ac:dyDescent="0.2">
      <c r="A216" s="90" t="s">
        <v>402</v>
      </c>
      <c r="B216" s="291" t="s">
        <v>652</v>
      </c>
      <c r="C216" s="90">
        <v>1</v>
      </c>
      <c r="D216" s="92">
        <f t="shared" si="32"/>
        <v>7698</v>
      </c>
      <c r="E216" s="92">
        <v>3849</v>
      </c>
      <c r="F216" s="92"/>
      <c r="G216" s="92">
        <v>962.25</v>
      </c>
      <c r="H216" s="90">
        <v>30</v>
      </c>
      <c r="I216" s="92">
        <f t="shared" si="30"/>
        <v>1443.375</v>
      </c>
      <c r="J216" s="90">
        <v>30</v>
      </c>
      <c r="K216" s="92">
        <f t="shared" si="28"/>
        <v>1443.375</v>
      </c>
      <c r="L216" s="92">
        <f t="shared" si="31"/>
        <v>92376</v>
      </c>
    </row>
    <row r="217" spans="1:12" x14ac:dyDescent="0.2">
      <c r="A217" s="90" t="s">
        <v>298</v>
      </c>
      <c r="B217" s="291" t="s">
        <v>651</v>
      </c>
      <c r="C217" s="90">
        <v>1</v>
      </c>
      <c r="D217" s="92">
        <f t="shared" si="32"/>
        <v>8106</v>
      </c>
      <c r="E217" s="92">
        <v>4053</v>
      </c>
      <c r="F217" s="92"/>
      <c r="G217" s="92">
        <v>1013.25</v>
      </c>
      <c r="H217" s="90">
        <v>30</v>
      </c>
      <c r="I217" s="92">
        <f t="shared" si="30"/>
        <v>1519.875</v>
      </c>
      <c r="J217" s="90">
        <v>30</v>
      </c>
      <c r="K217" s="92">
        <f t="shared" si="28"/>
        <v>1519.875</v>
      </c>
      <c r="L217" s="92">
        <f t="shared" si="31"/>
        <v>97272</v>
      </c>
    </row>
    <row r="218" spans="1:12" ht="25.5" x14ac:dyDescent="0.2">
      <c r="A218" s="90" t="s">
        <v>554</v>
      </c>
      <c r="B218" s="291" t="s">
        <v>653</v>
      </c>
      <c r="C218" s="90">
        <v>1</v>
      </c>
      <c r="D218" s="92">
        <f t="shared" si="32"/>
        <v>39496</v>
      </c>
      <c r="E218" s="92">
        <v>19748</v>
      </c>
      <c r="F218" s="92"/>
      <c r="G218" s="92">
        <v>4937</v>
      </c>
      <c r="H218" s="90">
        <v>30</v>
      </c>
      <c r="I218" s="92">
        <f t="shared" si="30"/>
        <v>7405.5</v>
      </c>
      <c r="J218" s="90">
        <v>30</v>
      </c>
      <c r="K218" s="92">
        <f t="shared" si="28"/>
        <v>7405.5</v>
      </c>
      <c r="L218" s="92">
        <f t="shared" si="31"/>
        <v>473952</v>
      </c>
    </row>
    <row r="219" spans="1:12" x14ac:dyDescent="0.2">
      <c r="A219" s="90" t="s">
        <v>404</v>
      </c>
      <c r="B219" s="291" t="s">
        <v>654</v>
      </c>
      <c r="C219" s="90">
        <v>5.25</v>
      </c>
      <c r="D219" s="92">
        <f>E219+F219+G219+I219+K219</f>
        <v>8276.32</v>
      </c>
      <c r="E219" s="92">
        <v>4498</v>
      </c>
      <c r="F219" s="92"/>
      <c r="G219" s="92">
        <v>674.7</v>
      </c>
      <c r="H219" s="90">
        <v>30</v>
      </c>
      <c r="I219" s="92">
        <f t="shared" si="30"/>
        <v>1551.81</v>
      </c>
      <c r="J219" s="90">
        <v>30</v>
      </c>
      <c r="K219" s="92">
        <f t="shared" si="28"/>
        <v>1551.81</v>
      </c>
      <c r="L219" s="92">
        <f t="shared" si="31"/>
        <v>521408.16000000003</v>
      </c>
    </row>
    <row r="220" spans="1:12" x14ac:dyDescent="0.2">
      <c r="A220" s="90" t="s">
        <v>291</v>
      </c>
      <c r="B220" s="291" t="s">
        <v>655</v>
      </c>
      <c r="C220" s="90">
        <v>1.5</v>
      </c>
      <c r="D220" s="92">
        <f t="shared" ref="D220:D221" si="33">E220+F220+G220+I220+K220</f>
        <v>27374.400000000001</v>
      </c>
      <c r="E220" s="92">
        <v>9505</v>
      </c>
      <c r="F220" s="92"/>
      <c r="G220" s="92">
        <v>7604</v>
      </c>
      <c r="H220" s="90">
        <v>30</v>
      </c>
      <c r="I220" s="92">
        <f>(E220+F220+G220)*H220/100</f>
        <v>5132.7</v>
      </c>
      <c r="J220" s="90">
        <v>30</v>
      </c>
      <c r="K220" s="92">
        <f t="shared" si="28"/>
        <v>5132.7</v>
      </c>
      <c r="L220" s="92">
        <f>(D220*C220)*12</f>
        <v>492739.20000000007</v>
      </c>
    </row>
    <row r="221" spans="1:12" ht="25.5" x14ac:dyDescent="0.2">
      <c r="A221" s="90" t="s">
        <v>688</v>
      </c>
      <c r="B221" s="291" t="s">
        <v>656</v>
      </c>
      <c r="C221" s="90">
        <v>1</v>
      </c>
      <c r="D221" s="92">
        <f t="shared" si="33"/>
        <v>8106</v>
      </c>
      <c r="E221" s="92">
        <v>4053</v>
      </c>
      <c r="F221" s="92"/>
      <c r="G221" s="92">
        <v>1013.25</v>
      </c>
      <c r="H221" s="90">
        <v>30</v>
      </c>
      <c r="I221" s="92">
        <f>(E221+F221+G221)*H221/100</f>
        <v>1519.875</v>
      </c>
      <c r="J221" s="90">
        <v>30</v>
      </c>
      <c r="K221" s="92">
        <f t="shared" si="28"/>
        <v>1519.875</v>
      </c>
      <c r="L221" s="92">
        <f>(D221*C221)*12</f>
        <v>97272</v>
      </c>
    </row>
    <row r="222" spans="1:12" ht="25.5" x14ac:dyDescent="0.2">
      <c r="A222" s="90" t="s">
        <v>403</v>
      </c>
      <c r="B222" s="291" t="s">
        <v>657</v>
      </c>
      <c r="C222" s="90">
        <v>0.5</v>
      </c>
      <c r="D222" s="92">
        <f>E222+F222+G222+I222+K222</f>
        <v>8304.24</v>
      </c>
      <c r="E222" s="92">
        <v>4943</v>
      </c>
      <c r="F222" s="92"/>
      <c r="G222" s="92">
        <v>247.15</v>
      </c>
      <c r="H222" s="90">
        <v>30</v>
      </c>
      <c r="I222" s="92">
        <f t="shared" ref="I222:I223" si="34">(E222+F222+G222)*H222/100</f>
        <v>1557.0450000000001</v>
      </c>
      <c r="J222" s="90">
        <v>30</v>
      </c>
      <c r="K222" s="92">
        <f t="shared" si="28"/>
        <v>1557.0450000000001</v>
      </c>
      <c r="L222" s="92">
        <f>D222*C222*12</f>
        <v>49825.440000000002</v>
      </c>
    </row>
    <row r="223" spans="1:12" ht="38.25" x14ac:dyDescent="0.2">
      <c r="A223" s="90" t="s">
        <v>616</v>
      </c>
      <c r="B223" s="291" t="s">
        <v>658</v>
      </c>
      <c r="C223" s="90"/>
      <c r="D223" s="92">
        <f>G223+I223+K223</f>
        <v>66436.607999999993</v>
      </c>
      <c r="E223" s="92"/>
      <c r="F223" s="92"/>
      <c r="G223" s="92">
        <v>41522.879999999997</v>
      </c>
      <c r="H223" s="90">
        <v>30</v>
      </c>
      <c r="I223" s="92">
        <f t="shared" si="34"/>
        <v>12456.864</v>
      </c>
      <c r="J223" s="90">
        <v>30</v>
      </c>
      <c r="K223" s="92">
        <f t="shared" si="28"/>
        <v>12456.864</v>
      </c>
      <c r="L223" s="92">
        <f>D223*12</f>
        <v>797239.29599999986</v>
      </c>
    </row>
    <row r="224" spans="1:12" ht="25.5" x14ac:dyDescent="0.2">
      <c r="A224" s="90" t="s">
        <v>299</v>
      </c>
      <c r="B224" s="291" t="s">
        <v>659</v>
      </c>
      <c r="C224" s="90"/>
      <c r="D224" s="92">
        <f>G224+I224+K224</f>
        <v>268317.16800000001</v>
      </c>
      <c r="E224" s="92"/>
      <c r="F224" s="92"/>
      <c r="G224" s="92">
        <v>167698.23000000001</v>
      </c>
      <c r="H224" s="90">
        <v>30</v>
      </c>
      <c r="I224" s="92">
        <f>(E224+F224+G224)*H224/100</f>
        <v>50309.469000000005</v>
      </c>
      <c r="J224" s="90">
        <v>30</v>
      </c>
      <c r="K224" s="92">
        <f t="shared" si="28"/>
        <v>50309.469000000005</v>
      </c>
      <c r="L224" s="92">
        <f>D224*12</f>
        <v>3219806.0159999998</v>
      </c>
    </row>
    <row r="225" spans="1:13" x14ac:dyDescent="0.2">
      <c r="A225" s="90" t="s">
        <v>300</v>
      </c>
      <c r="B225" s="291" t="s">
        <v>660</v>
      </c>
      <c r="C225" s="90"/>
      <c r="D225" s="92">
        <f>E225+F225+G225+I225+K225</f>
        <v>127602.83200000001</v>
      </c>
      <c r="E225" s="92"/>
      <c r="F225" s="92"/>
      <c r="G225" s="92">
        <v>79751.77</v>
      </c>
      <c r="H225" s="90">
        <v>30</v>
      </c>
      <c r="I225" s="92">
        <f>(E225+F225+G225)*H225/100</f>
        <v>23925.531000000003</v>
      </c>
      <c r="J225" s="90">
        <v>30</v>
      </c>
      <c r="K225" s="92">
        <f t="shared" si="28"/>
        <v>23925.531000000003</v>
      </c>
      <c r="L225" s="92">
        <f>D225*12</f>
        <v>1531233.9840000002</v>
      </c>
      <c r="M225" s="104"/>
    </row>
    <row r="226" spans="1:13" x14ac:dyDescent="0.2">
      <c r="A226" s="90" t="s">
        <v>137</v>
      </c>
      <c r="B226" s="289">
        <v>9000</v>
      </c>
      <c r="C226" s="250">
        <f>C209+C210+C211+C212+C214+C215+C216+C217+C218+C219+C220+C221+C222+C213</f>
        <v>18</v>
      </c>
      <c r="D226" s="92">
        <f>SUM(D209:D225)</f>
        <v>787610.2080000001</v>
      </c>
      <c r="E226" s="92">
        <f>SUM(E209:E225)</f>
        <v>162755</v>
      </c>
      <c r="F226" s="92">
        <f>SUM(F209:F225)</f>
        <v>0</v>
      </c>
      <c r="G226" s="92">
        <f>SUM(G209:G225)</f>
        <v>329501.38</v>
      </c>
      <c r="H226" s="92"/>
      <c r="I226" s="92">
        <f>SUM(I209:I225)</f>
        <v>147676.91399999999</v>
      </c>
      <c r="J226" s="92"/>
      <c r="K226" s="92">
        <f>SUM(K209:K225)</f>
        <v>147676.91399999999</v>
      </c>
      <c r="L226" s="92">
        <f>SUM(L209:L225)-0.02</f>
        <v>10400173.996000003</v>
      </c>
      <c r="M226" s="104">
        <v>10400174</v>
      </c>
    </row>
    <row r="227" spans="1:13" x14ac:dyDescent="0.2">
      <c r="A227" s="243"/>
      <c r="B227" s="254"/>
      <c r="C227" s="255"/>
      <c r="D227" s="94"/>
      <c r="E227" s="94"/>
      <c r="F227" s="94"/>
      <c r="G227" s="94"/>
      <c r="H227" s="94"/>
      <c r="I227" s="94"/>
      <c r="J227" s="94"/>
      <c r="K227" s="94"/>
      <c r="L227" s="94"/>
    </row>
    <row r="228" spans="1:13" hidden="1" x14ac:dyDescent="0.2">
      <c r="A228" s="3" t="s">
        <v>345</v>
      </c>
    </row>
    <row r="229" spans="1:13" ht="77.25" hidden="1" customHeight="1" x14ac:dyDescent="0.2">
      <c r="A229" s="289" t="s">
        <v>411</v>
      </c>
      <c r="B229" s="289" t="s">
        <v>1</v>
      </c>
      <c r="C229" s="289" t="s">
        <v>320</v>
      </c>
      <c r="D229" s="289" t="s">
        <v>321</v>
      </c>
    </row>
    <row r="230" spans="1:13" ht="25.5" hidden="1" x14ac:dyDescent="0.2">
      <c r="A230" s="90" t="s">
        <v>367</v>
      </c>
      <c r="B230" s="90">
        <v>1</v>
      </c>
      <c r="C230" s="34">
        <f>D230/9</f>
        <v>0</v>
      </c>
      <c r="D230" s="29"/>
    </row>
    <row r="231" spans="1:13" ht="38.25" hidden="1" x14ac:dyDescent="0.2">
      <c r="A231" s="90" t="s">
        <v>368</v>
      </c>
      <c r="B231" s="90">
        <v>2</v>
      </c>
      <c r="C231" s="34">
        <f>D231/9</f>
        <v>0</v>
      </c>
      <c r="D231" s="29"/>
    </row>
    <row r="232" spans="1:13" hidden="1" x14ac:dyDescent="0.2">
      <c r="A232" s="90" t="s">
        <v>520</v>
      </c>
      <c r="B232" s="90">
        <v>3</v>
      </c>
      <c r="C232" s="34">
        <f>D232/9</f>
        <v>0</v>
      </c>
      <c r="D232" s="130"/>
    </row>
    <row r="233" spans="1:13" ht="51" hidden="1" x14ac:dyDescent="0.2">
      <c r="A233" s="90" t="s">
        <v>521</v>
      </c>
      <c r="B233" s="90">
        <v>4</v>
      </c>
      <c r="C233" s="34">
        <f>D233/12</f>
        <v>0</v>
      </c>
      <c r="D233" s="130"/>
    </row>
    <row r="234" spans="1:13" hidden="1" x14ac:dyDescent="0.2">
      <c r="A234" s="11" t="s">
        <v>322</v>
      </c>
      <c r="B234" s="11">
        <v>9000</v>
      </c>
      <c r="C234" s="11"/>
      <c r="D234" s="39">
        <f>SUM(D230:D231)+D232+D233</f>
        <v>0</v>
      </c>
    </row>
    <row r="235" spans="1:13" x14ac:dyDescent="0.2">
      <c r="A235" s="3" t="s">
        <v>455</v>
      </c>
      <c r="M235" s="124" t="s">
        <v>534</v>
      </c>
    </row>
    <row r="236" spans="1:13" ht="38.25" x14ac:dyDescent="0.2">
      <c r="A236" s="36" t="s">
        <v>0</v>
      </c>
      <c r="B236" s="11" t="s">
        <v>418</v>
      </c>
      <c r="C236" s="36" t="s">
        <v>413</v>
      </c>
      <c r="D236" s="36" t="s">
        <v>414</v>
      </c>
      <c r="E236" s="11" t="s">
        <v>415</v>
      </c>
      <c r="F236" s="36" t="s">
        <v>416</v>
      </c>
      <c r="G236" s="36" t="s">
        <v>417</v>
      </c>
    </row>
    <row r="237" spans="1:13" ht="38.25" x14ac:dyDescent="0.2">
      <c r="A237" s="36" t="s">
        <v>412</v>
      </c>
      <c r="B237" s="268" t="s">
        <v>645</v>
      </c>
      <c r="C237" s="55">
        <v>638341.19999999995</v>
      </c>
      <c r="D237" s="55">
        <v>2</v>
      </c>
      <c r="E237" s="55">
        <v>12758.8</v>
      </c>
      <c r="F237" s="55">
        <f>E237-G237</f>
        <v>2959.41</v>
      </c>
      <c r="G237" s="56">
        <v>9799.39</v>
      </c>
    </row>
    <row r="238" spans="1:13" x14ac:dyDescent="0.2">
      <c r="A238" s="11" t="s">
        <v>137</v>
      </c>
      <c r="B238" s="11">
        <v>9000</v>
      </c>
      <c r="C238" s="37"/>
      <c r="D238" s="11"/>
      <c r="E238" s="11"/>
      <c r="F238" s="11"/>
      <c r="G238" s="55">
        <f>G237</f>
        <v>9799.39</v>
      </c>
      <c r="L238" s="79"/>
    </row>
  </sheetData>
  <mergeCells count="114">
    <mergeCell ref="L204:L207"/>
    <mergeCell ref="D205:D207"/>
    <mergeCell ref="E205:K205"/>
    <mergeCell ref="E206:E207"/>
    <mergeCell ref="F206:F207"/>
    <mergeCell ref="J166:K166"/>
    <mergeCell ref="G206:G207"/>
    <mergeCell ref="H206:I206"/>
    <mergeCell ref="J206:K206"/>
    <mergeCell ref="A194:D194"/>
    <mergeCell ref="A204:A207"/>
    <mergeCell ref="B204:B207"/>
    <mergeCell ref="C204:C207"/>
    <mergeCell ref="D204:K204"/>
    <mergeCell ref="A184:A187"/>
    <mergeCell ref="B184:B187"/>
    <mergeCell ref="C184:C187"/>
    <mergeCell ref="D184:K184"/>
    <mergeCell ref="L184:L187"/>
    <mergeCell ref="D185:D187"/>
    <mergeCell ref="E185:K185"/>
    <mergeCell ref="E186:E187"/>
    <mergeCell ref="F186:F187"/>
    <mergeCell ref="G186:G187"/>
    <mergeCell ref="H186:I186"/>
    <mergeCell ref="J186:K186"/>
    <mergeCell ref="G166:G167"/>
    <mergeCell ref="H166:I166"/>
    <mergeCell ref="L126:L129"/>
    <mergeCell ref="D127:D129"/>
    <mergeCell ref="E127:K127"/>
    <mergeCell ref="E128:E129"/>
    <mergeCell ref="F128:F129"/>
    <mergeCell ref="G128:G129"/>
    <mergeCell ref="H128:I128"/>
    <mergeCell ref="J128:K128"/>
    <mergeCell ref="A162:L162"/>
    <mergeCell ref="A164:A167"/>
    <mergeCell ref="B164:B167"/>
    <mergeCell ref="C164:C167"/>
    <mergeCell ref="D164:K164"/>
    <mergeCell ref="L164:L167"/>
    <mergeCell ref="D165:D167"/>
    <mergeCell ref="E165:K165"/>
    <mergeCell ref="E166:E167"/>
    <mergeCell ref="F166:F167"/>
    <mergeCell ref="A117:D117"/>
    <mergeCell ref="A126:A129"/>
    <mergeCell ref="B126:B129"/>
    <mergeCell ref="C126:C129"/>
    <mergeCell ref="D126:K126"/>
    <mergeCell ref="A106:A109"/>
    <mergeCell ref="B106:B109"/>
    <mergeCell ref="C106:C109"/>
    <mergeCell ref="D106:K106"/>
    <mergeCell ref="A84:L84"/>
    <mergeCell ref="A86:A89"/>
    <mergeCell ref="B86:B89"/>
    <mergeCell ref="C86:C89"/>
    <mergeCell ref="D86:K86"/>
    <mergeCell ref="L86:L89"/>
    <mergeCell ref="D87:D89"/>
    <mergeCell ref="L106:L109"/>
    <mergeCell ref="D107:D109"/>
    <mergeCell ref="E107:K107"/>
    <mergeCell ref="E108:E109"/>
    <mergeCell ref="F108:F109"/>
    <mergeCell ref="G108:G109"/>
    <mergeCell ref="E87:K87"/>
    <mergeCell ref="E88:E89"/>
    <mergeCell ref="F88:F89"/>
    <mergeCell ref="G88:G89"/>
    <mergeCell ref="H88:I88"/>
    <mergeCell ref="J88:K88"/>
    <mergeCell ref="H108:I108"/>
    <mergeCell ref="J108:K108"/>
    <mergeCell ref="A23:A26"/>
    <mergeCell ref="B23:B26"/>
    <mergeCell ref="C23:C26"/>
    <mergeCell ref="D23:K23"/>
    <mergeCell ref="L23:L26"/>
    <mergeCell ref="D24:D26"/>
    <mergeCell ref="E24:K24"/>
    <mergeCell ref="E25:E26"/>
    <mergeCell ref="F25:F26"/>
    <mergeCell ref="G25:G26"/>
    <mergeCell ref="H25:I25"/>
    <mergeCell ref="J25:K25"/>
    <mergeCell ref="A34:D34"/>
    <mergeCell ref="A43:A46"/>
    <mergeCell ref="B43:B46"/>
    <mergeCell ref="C43:C46"/>
    <mergeCell ref="D43:K43"/>
    <mergeCell ref="L43:L46"/>
    <mergeCell ref="D44:D46"/>
    <mergeCell ref="E44:K44"/>
    <mergeCell ref="E45:E46"/>
    <mergeCell ref="F45:F46"/>
    <mergeCell ref="G45:G46"/>
    <mergeCell ref="H45:I45"/>
    <mergeCell ref="J45:K45"/>
    <mergeCell ref="A1:L1"/>
    <mergeCell ref="A3:A6"/>
    <mergeCell ref="B3:B6"/>
    <mergeCell ref="C3:C6"/>
    <mergeCell ref="D3:K3"/>
    <mergeCell ref="L3:L6"/>
    <mergeCell ref="D4:D6"/>
    <mergeCell ref="E4:K4"/>
    <mergeCell ref="E5:E6"/>
    <mergeCell ref="F5:F6"/>
    <mergeCell ref="G5:G6"/>
    <mergeCell ref="H5:I5"/>
    <mergeCell ref="J5:K5"/>
  </mergeCells>
  <pageMargins left="0.7" right="0.7" top="0.75" bottom="0.75" header="0.3" footer="0.3"/>
  <pageSetup paperSize="9" scale="82" fitToHeight="0" orientation="landscape" r:id="rId1"/>
  <rowBreaks count="5" manualBreakCount="5">
    <brk id="33" max="11" man="1"/>
    <brk id="71" max="11" man="1"/>
    <brk id="142" max="11" man="1"/>
    <brk id="182" max="11" man="1"/>
    <brk id="214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Normal="100" workbookViewId="0">
      <selection activeCell="P47" sqref="P47"/>
    </sheetView>
  </sheetViews>
  <sheetFormatPr defaultRowHeight="12.75" x14ac:dyDescent="0.2"/>
  <cols>
    <col min="1" max="1" width="21.42578125" style="3" customWidth="1"/>
    <col min="2" max="2" width="9.140625" style="3"/>
    <col min="3" max="12" width="10.5703125" style="3" customWidth="1"/>
    <col min="13" max="16384" width="9.140625" style="3"/>
  </cols>
  <sheetData>
    <row r="1" spans="1:12" x14ac:dyDescent="0.2">
      <c r="A1" s="3" t="s">
        <v>195</v>
      </c>
    </row>
    <row r="2" spans="1:12" x14ac:dyDescent="0.2">
      <c r="A2" s="335" t="s">
        <v>182</v>
      </c>
      <c r="B2" s="335" t="s">
        <v>1</v>
      </c>
      <c r="C2" s="335" t="s">
        <v>183</v>
      </c>
      <c r="D2" s="335" t="s">
        <v>184</v>
      </c>
      <c r="E2" s="335"/>
      <c r="F2" s="335"/>
      <c r="G2" s="335"/>
      <c r="H2" s="335"/>
      <c r="I2" s="335"/>
      <c r="J2" s="335"/>
      <c r="K2" s="335"/>
      <c r="L2" s="335" t="s">
        <v>185</v>
      </c>
    </row>
    <row r="3" spans="1:12" x14ac:dyDescent="0.2">
      <c r="A3" s="335"/>
      <c r="B3" s="335"/>
      <c r="C3" s="335"/>
      <c r="D3" s="335" t="s">
        <v>186</v>
      </c>
      <c r="E3" s="335" t="s">
        <v>15</v>
      </c>
      <c r="F3" s="335"/>
      <c r="G3" s="335"/>
      <c r="H3" s="335"/>
      <c r="I3" s="335"/>
      <c r="J3" s="335"/>
      <c r="K3" s="335"/>
      <c r="L3" s="335"/>
    </row>
    <row r="4" spans="1:12" ht="33" customHeight="1" x14ac:dyDescent="0.2">
      <c r="A4" s="335"/>
      <c r="B4" s="335"/>
      <c r="C4" s="335"/>
      <c r="D4" s="335"/>
      <c r="E4" s="335" t="s">
        <v>187</v>
      </c>
      <c r="F4" s="335" t="s">
        <v>188</v>
      </c>
      <c r="G4" s="335" t="s">
        <v>189</v>
      </c>
      <c r="H4" s="335" t="s">
        <v>190</v>
      </c>
      <c r="I4" s="335"/>
      <c r="J4" s="335" t="s">
        <v>191</v>
      </c>
      <c r="K4" s="335"/>
      <c r="L4" s="335"/>
    </row>
    <row r="5" spans="1:12" ht="51" x14ac:dyDescent="0.2">
      <c r="A5" s="335"/>
      <c r="B5" s="335"/>
      <c r="C5" s="335"/>
      <c r="D5" s="335"/>
      <c r="E5" s="335"/>
      <c r="F5" s="335"/>
      <c r="G5" s="335"/>
      <c r="H5" s="2" t="s">
        <v>192</v>
      </c>
      <c r="I5" s="2" t="s">
        <v>193</v>
      </c>
      <c r="J5" s="2" t="s">
        <v>192</v>
      </c>
      <c r="K5" s="2" t="s">
        <v>194</v>
      </c>
      <c r="L5" s="335"/>
    </row>
    <row r="6" spans="1:12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2" x14ac:dyDescent="0.2">
      <c r="A7" s="6"/>
      <c r="B7" s="2">
        <v>1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x14ac:dyDescent="0.2">
      <c r="A8" s="6"/>
      <c r="B8" s="2">
        <v>2</v>
      </c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x14ac:dyDescent="0.2">
      <c r="A10" s="6" t="s">
        <v>137</v>
      </c>
      <c r="B10" s="2">
        <v>9000</v>
      </c>
      <c r="C10" s="2" t="s">
        <v>12</v>
      </c>
      <c r="D10" s="6"/>
      <c r="E10" s="6"/>
      <c r="F10" s="6"/>
      <c r="G10" s="6"/>
      <c r="H10" s="6"/>
      <c r="I10" s="6"/>
      <c r="J10" s="6"/>
      <c r="K10" s="6"/>
      <c r="L10" s="6"/>
    </row>
  </sheetData>
  <mergeCells count="12">
    <mergeCell ref="A2:A5"/>
    <mergeCell ref="B2:B5"/>
    <mergeCell ref="C2:C5"/>
    <mergeCell ref="D2:K2"/>
    <mergeCell ref="L2:L5"/>
    <mergeCell ref="D3:D5"/>
    <mergeCell ref="E3:K3"/>
    <mergeCell ref="E4:E5"/>
    <mergeCell ref="F4:F5"/>
    <mergeCell ref="G4:G5"/>
    <mergeCell ref="H4:I4"/>
    <mergeCell ref="J4:K4"/>
  </mergeCells>
  <phoneticPr fontId="12" type="noConversion"/>
  <pageMargins left="0.7" right="0.7" top="0.75" bottom="0.75" header="0.3" footer="0.3"/>
  <pageSetup paperSize="9" scale="96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Normal="100" workbookViewId="0">
      <selection activeCell="K32" sqref="K32"/>
    </sheetView>
  </sheetViews>
  <sheetFormatPr defaultRowHeight="12.75" x14ac:dyDescent="0.2"/>
  <cols>
    <col min="1" max="1" width="22.28515625" style="3" customWidth="1"/>
    <col min="2" max="2" width="15" style="3" customWidth="1"/>
    <col min="3" max="12" width="13.28515625" style="3" customWidth="1"/>
    <col min="13" max="16384" width="9.140625" style="3"/>
  </cols>
  <sheetData>
    <row r="1" spans="1:12" x14ac:dyDescent="0.2">
      <c r="A1" s="3" t="s">
        <v>196</v>
      </c>
    </row>
    <row r="2" spans="1:12" x14ac:dyDescent="0.2">
      <c r="A2" s="335" t="s">
        <v>182</v>
      </c>
      <c r="B2" s="335" t="s">
        <v>1</v>
      </c>
      <c r="C2" s="335" t="s">
        <v>183</v>
      </c>
      <c r="D2" s="335" t="s">
        <v>184</v>
      </c>
      <c r="E2" s="335"/>
      <c r="F2" s="335"/>
      <c r="G2" s="335"/>
      <c r="H2" s="335"/>
      <c r="I2" s="335"/>
      <c r="J2" s="335"/>
      <c r="K2" s="335"/>
      <c r="L2" s="335" t="s">
        <v>185</v>
      </c>
    </row>
    <row r="3" spans="1:12" x14ac:dyDescent="0.2">
      <c r="A3" s="335"/>
      <c r="B3" s="335"/>
      <c r="C3" s="335"/>
      <c r="D3" s="335" t="s">
        <v>186</v>
      </c>
      <c r="E3" s="335" t="s">
        <v>15</v>
      </c>
      <c r="F3" s="335"/>
      <c r="G3" s="335"/>
      <c r="H3" s="335"/>
      <c r="I3" s="335"/>
      <c r="J3" s="335"/>
      <c r="K3" s="335"/>
      <c r="L3" s="335"/>
    </row>
    <row r="4" spans="1:12" ht="33" customHeight="1" x14ac:dyDescent="0.2">
      <c r="A4" s="335"/>
      <c r="B4" s="335"/>
      <c r="C4" s="335"/>
      <c r="D4" s="335"/>
      <c r="E4" s="335" t="s">
        <v>187</v>
      </c>
      <c r="F4" s="335" t="s">
        <v>188</v>
      </c>
      <c r="G4" s="335" t="s">
        <v>189</v>
      </c>
      <c r="H4" s="335" t="s">
        <v>190</v>
      </c>
      <c r="I4" s="335"/>
      <c r="J4" s="335" t="s">
        <v>191</v>
      </c>
      <c r="K4" s="335"/>
      <c r="L4" s="335"/>
    </row>
    <row r="5" spans="1:12" ht="38.25" x14ac:dyDescent="0.2">
      <c r="A5" s="335"/>
      <c r="B5" s="335"/>
      <c r="C5" s="335"/>
      <c r="D5" s="335"/>
      <c r="E5" s="335"/>
      <c r="F5" s="335"/>
      <c r="G5" s="335"/>
      <c r="H5" s="2" t="s">
        <v>192</v>
      </c>
      <c r="I5" s="2" t="s">
        <v>193</v>
      </c>
      <c r="J5" s="2" t="s">
        <v>192</v>
      </c>
      <c r="K5" s="2" t="s">
        <v>194</v>
      </c>
      <c r="L5" s="335"/>
    </row>
    <row r="6" spans="1:12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2" x14ac:dyDescent="0.2">
      <c r="A7" s="6"/>
      <c r="B7" s="2">
        <v>1</v>
      </c>
      <c r="C7" s="6"/>
      <c r="D7" s="2"/>
      <c r="E7" s="2"/>
      <c r="F7" s="2"/>
      <c r="G7" s="2"/>
      <c r="H7" s="2"/>
      <c r="I7" s="2"/>
      <c r="J7" s="2"/>
      <c r="K7" s="2"/>
      <c r="L7" s="2"/>
    </row>
    <row r="8" spans="1:12" x14ac:dyDescent="0.2">
      <c r="A8" s="6"/>
      <c r="B8" s="2">
        <v>2</v>
      </c>
      <c r="C8" s="6"/>
      <c r="D8" s="2"/>
      <c r="E8" s="2"/>
      <c r="F8" s="2"/>
      <c r="G8" s="2"/>
      <c r="H8" s="2"/>
      <c r="I8" s="2"/>
      <c r="J8" s="2"/>
      <c r="K8" s="2"/>
      <c r="L8" s="2"/>
    </row>
    <row r="9" spans="1:12" x14ac:dyDescent="0.2">
      <c r="A9" s="6"/>
      <c r="B9" s="6"/>
      <c r="C9" s="6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A10" s="6" t="s">
        <v>137</v>
      </c>
      <c r="B10" s="2">
        <v>9000</v>
      </c>
      <c r="C10" s="2" t="s">
        <v>12</v>
      </c>
      <c r="D10" s="2"/>
      <c r="E10" s="2"/>
      <c r="F10" s="2"/>
      <c r="G10" s="2"/>
      <c r="H10" s="2"/>
      <c r="I10" s="2"/>
      <c r="J10" s="2"/>
      <c r="K10" s="2"/>
      <c r="L10" s="2"/>
    </row>
  </sheetData>
  <mergeCells count="12">
    <mergeCell ref="A2:A5"/>
    <mergeCell ref="B2:B5"/>
    <mergeCell ref="C2:C5"/>
    <mergeCell ref="D2:K2"/>
    <mergeCell ref="L2:L5"/>
    <mergeCell ref="D3:D5"/>
    <mergeCell ref="E3:K3"/>
    <mergeCell ref="E4:E5"/>
    <mergeCell ref="F4:F5"/>
    <mergeCell ref="G4:G5"/>
    <mergeCell ref="H4:I4"/>
    <mergeCell ref="J4:K4"/>
  </mergeCells>
  <phoneticPr fontId="12" type="noConversion"/>
  <pageMargins left="0.7" right="0.7" top="0.75" bottom="0.75" header="0.3" footer="0.3"/>
  <pageSetup paperSize="9" scale="77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E16"/>
  <sheetViews>
    <sheetView topLeftCell="A2" zoomScaleNormal="100" workbookViewId="0">
      <selection activeCell="E7" sqref="E7"/>
    </sheetView>
  </sheetViews>
  <sheetFormatPr defaultRowHeight="12.75" x14ac:dyDescent="0.2"/>
  <cols>
    <col min="1" max="1" width="43.140625" style="3" customWidth="1"/>
    <col min="2" max="2" width="9.140625" style="3"/>
    <col min="3" max="5" width="21.42578125" style="3" customWidth="1"/>
    <col min="6" max="16384" width="9.140625" style="3"/>
  </cols>
  <sheetData>
    <row r="1" spans="1:5" ht="29.25" customHeight="1" x14ac:dyDescent="0.2">
      <c r="A1" s="340" t="s">
        <v>203</v>
      </c>
      <c r="B1" s="340"/>
      <c r="C1" s="340"/>
      <c r="D1" s="340"/>
      <c r="E1" s="340"/>
    </row>
    <row r="2" spans="1:5" x14ac:dyDescent="0.2">
      <c r="A2" s="13"/>
      <c r="B2" s="13"/>
      <c r="C2" s="13"/>
      <c r="D2" s="13"/>
      <c r="E2" s="13"/>
    </row>
    <row r="3" spans="1:5" ht="29.25" customHeight="1" x14ac:dyDescent="0.2">
      <c r="A3" s="340" t="s">
        <v>204</v>
      </c>
      <c r="B3" s="340"/>
      <c r="C3" s="340"/>
      <c r="D3" s="340"/>
      <c r="E3" s="340"/>
    </row>
    <row r="5" spans="1:5" x14ac:dyDescent="0.2">
      <c r="A5" s="335" t="s">
        <v>0</v>
      </c>
      <c r="B5" s="335" t="s">
        <v>1</v>
      </c>
      <c r="C5" s="335" t="s">
        <v>117</v>
      </c>
      <c r="D5" s="335"/>
      <c r="E5" s="335"/>
    </row>
    <row r="6" spans="1:5" x14ac:dyDescent="0.2">
      <c r="A6" s="335"/>
      <c r="B6" s="335"/>
      <c r="C6" s="174" t="s">
        <v>582</v>
      </c>
      <c r="D6" s="174" t="s">
        <v>614</v>
      </c>
      <c r="E6" s="174" t="s">
        <v>694</v>
      </c>
    </row>
    <row r="7" spans="1:5" ht="25.5" x14ac:dyDescent="0.2">
      <c r="A7" s="335"/>
      <c r="B7" s="335"/>
      <c r="C7" s="2" t="s">
        <v>79</v>
      </c>
      <c r="D7" s="2" t="s">
        <v>80</v>
      </c>
      <c r="E7" s="2" t="s">
        <v>81</v>
      </c>
    </row>
    <row r="8" spans="1:5" x14ac:dyDescent="0.2">
      <c r="A8" s="2">
        <v>1</v>
      </c>
      <c r="B8" s="2">
        <v>2</v>
      </c>
      <c r="C8" s="2">
        <v>3</v>
      </c>
      <c r="D8" s="2">
        <v>4</v>
      </c>
      <c r="E8" s="2">
        <v>5</v>
      </c>
    </row>
    <row r="9" spans="1:5" ht="25.5" x14ac:dyDescent="0.2">
      <c r="A9" s="6" t="s">
        <v>197</v>
      </c>
      <c r="B9" s="266" t="s">
        <v>629</v>
      </c>
      <c r="C9" s="5"/>
      <c r="D9" s="5"/>
      <c r="E9" s="5"/>
    </row>
    <row r="10" spans="1:5" ht="38.25" x14ac:dyDescent="0.2">
      <c r="A10" s="6" t="s">
        <v>198</v>
      </c>
      <c r="B10" s="266" t="s">
        <v>630</v>
      </c>
      <c r="C10" s="5"/>
      <c r="D10" s="5"/>
      <c r="E10" s="5"/>
    </row>
    <row r="11" spans="1:5" ht="25.5" x14ac:dyDescent="0.2">
      <c r="A11" s="6" t="s">
        <v>199</v>
      </c>
      <c r="B11" s="266" t="s">
        <v>631</v>
      </c>
      <c r="C11" s="70">
        <f>C12+C13</f>
        <v>14956546.593969598</v>
      </c>
      <c r="D11" s="70">
        <f>D12+D13</f>
        <v>14956195.174689598</v>
      </c>
      <c r="E11" s="70">
        <f>E12+E13</f>
        <v>14956195.174689598</v>
      </c>
    </row>
    <row r="12" spans="1:5" x14ac:dyDescent="0.2">
      <c r="A12" s="15" t="s">
        <v>318</v>
      </c>
      <c r="B12" s="271"/>
      <c r="C12" s="148">
        <f>'3.7.2'!F22+'3.7.2'!F67</f>
        <v>14956195.174689598</v>
      </c>
      <c r="D12" s="70">
        <f>'3.7.2'!G67+'3.7.2'!G22</f>
        <v>14956195.174689598</v>
      </c>
      <c r="E12" s="70">
        <f>'3.7.2'!H22+'3.7.2'!H67</f>
        <v>14956195.174689598</v>
      </c>
    </row>
    <row r="13" spans="1:5" x14ac:dyDescent="0.2">
      <c r="A13" s="15" t="s">
        <v>319</v>
      </c>
      <c r="B13" s="271"/>
      <c r="C13" s="76">
        <f>'3.7.2'!F44</f>
        <v>351.41927999999996</v>
      </c>
      <c r="D13" s="70">
        <f>'3.7.2'!G44</f>
        <v>0</v>
      </c>
      <c r="E13" s="70">
        <f>'3.7.2'!H44</f>
        <v>0</v>
      </c>
    </row>
    <row r="14" spans="1:5" ht="25.5" x14ac:dyDescent="0.2">
      <c r="A14" s="6" t="s">
        <v>200</v>
      </c>
      <c r="B14" s="266" t="s">
        <v>642</v>
      </c>
      <c r="C14" s="5"/>
      <c r="D14" s="5"/>
      <c r="E14" s="5"/>
    </row>
    <row r="15" spans="1:5" ht="38.25" x14ac:dyDescent="0.2">
      <c r="A15" s="6" t="s">
        <v>201</v>
      </c>
      <c r="B15" s="266" t="s">
        <v>643</v>
      </c>
      <c r="C15" s="5"/>
      <c r="D15" s="5"/>
      <c r="E15" s="5"/>
    </row>
    <row r="16" spans="1:5" ht="38.25" x14ac:dyDescent="0.2">
      <c r="A16" s="6" t="s">
        <v>202</v>
      </c>
      <c r="B16" s="266" t="s">
        <v>644</v>
      </c>
      <c r="C16" s="5">
        <f>C11</f>
        <v>14956546.593969598</v>
      </c>
      <c r="D16" s="5">
        <f>D11</f>
        <v>14956195.174689598</v>
      </c>
      <c r="E16" s="5">
        <f>E11</f>
        <v>14956195.174689598</v>
      </c>
    </row>
  </sheetData>
  <mergeCells count="5">
    <mergeCell ref="A5:A7"/>
    <mergeCell ref="B5:B7"/>
    <mergeCell ref="C5:E5"/>
    <mergeCell ref="A1:E1"/>
    <mergeCell ref="A3:E3"/>
  </mergeCells>
  <phoneticPr fontId="12" type="noConversion"/>
  <pageMargins left="0.7" right="0.7" top="0.75" bottom="0.75" header="0.3" footer="0.3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opLeftCell="A64" zoomScaleNormal="100" workbookViewId="0">
      <selection activeCell="F22" sqref="F22"/>
    </sheetView>
  </sheetViews>
  <sheetFormatPr defaultRowHeight="12.75" x14ac:dyDescent="0.2"/>
  <cols>
    <col min="1" max="1" width="49.28515625" style="3" customWidth="1"/>
    <col min="2" max="2" width="9.140625" style="3"/>
    <col min="3" max="8" width="14.140625" style="3" customWidth="1"/>
    <col min="9" max="16384" width="9.140625" style="3"/>
  </cols>
  <sheetData>
    <row r="1" spans="1:11" x14ac:dyDescent="0.2">
      <c r="A1" s="47" t="s">
        <v>604</v>
      </c>
      <c r="B1" s="47"/>
      <c r="C1" s="47"/>
      <c r="D1" s="47"/>
      <c r="E1" s="47"/>
    </row>
    <row r="2" spans="1:11" x14ac:dyDescent="0.2">
      <c r="A2" s="47"/>
      <c r="B2" s="47"/>
      <c r="C2" s="47"/>
      <c r="D2" s="47"/>
      <c r="E2" s="47"/>
    </row>
    <row r="3" spans="1:11" x14ac:dyDescent="0.2">
      <c r="A3" s="345" t="s">
        <v>205</v>
      </c>
      <c r="B3" s="345" t="s">
        <v>1</v>
      </c>
      <c r="C3" s="345" t="s">
        <v>206</v>
      </c>
      <c r="D3" s="345"/>
      <c r="E3" s="345"/>
      <c r="F3" s="335" t="s">
        <v>207</v>
      </c>
      <c r="G3" s="335"/>
      <c r="H3" s="335"/>
    </row>
    <row r="4" spans="1:11" x14ac:dyDescent="0.2">
      <c r="A4" s="345"/>
      <c r="B4" s="345"/>
      <c r="C4" s="18" t="s">
        <v>582</v>
      </c>
      <c r="D4" s="18" t="s">
        <v>614</v>
      </c>
      <c r="E4" s="18" t="s">
        <v>694</v>
      </c>
      <c r="F4" s="290" t="s">
        <v>582</v>
      </c>
      <c r="G4" s="290" t="s">
        <v>614</v>
      </c>
      <c r="H4" s="290" t="s">
        <v>694</v>
      </c>
    </row>
    <row r="5" spans="1:11" ht="38.25" x14ac:dyDescent="0.2">
      <c r="A5" s="345"/>
      <c r="B5" s="345"/>
      <c r="C5" s="45" t="s">
        <v>79</v>
      </c>
      <c r="D5" s="45" t="s">
        <v>80</v>
      </c>
      <c r="E5" s="45" t="s">
        <v>81</v>
      </c>
      <c r="F5" s="2" t="s">
        <v>79</v>
      </c>
      <c r="G5" s="2" t="s">
        <v>80</v>
      </c>
      <c r="H5" s="2" t="s">
        <v>81</v>
      </c>
    </row>
    <row r="6" spans="1:11" x14ac:dyDescent="0.2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2">
        <v>6</v>
      </c>
      <c r="G6" s="2">
        <v>7</v>
      </c>
      <c r="H6" s="2">
        <v>8</v>
      </c>
    </row>
    <row r="7" spans="1:11" ht="25.5" x14ac:dyDescent="0.2">
      <c r="A7" s="44" t="s">
        <v>208</v>
      </c>
      <c r="B7" s="269" t="s">
        <v>629</v>
      </c>
      <c r="C7" s="43"/>
      <c r="D7" s="43"/>
      <c r="E7" s="43"/>
      <c r="F7" s="5">
        <f>F8+F10+F11</f>
        <v>10893085.331656</v>
      </c>
      <c r="G7" s="5">
        <f>G8+G10+G11</f>
        <v>10893085.331656</v>
      </c>
      <c r="H7" s="5">
        <f>H8+H10+H11</f>
        <v>10893085.331656</v>
      </c>
    </row>
    <row r="8" spans="1:11" x14ac:dyDescent="0.2">
      <c r="A8" s="44" t="s">
        <v>15</v>
      </c>
      <c r="B8" s="348" t="s">
        <v>662</v>
      </c>
      <c r="C8" s="339">
        <f>'3.6.3'!L20+'3.6.3'!L32+'3.6.3'!G40+'3.6.3'!L65</f>
        <v>49514024.234799996</v>
      </c>
      <c r="D8" s="351">
        <f>'3.6.3'!L103+'3.6.3'!L115+'3.6.3'!G123+'3.6.3'!L148</f>
        <v>49514024.234799996</v>
      </c>
      <c r="E8" s="339">
        <f>'3.6.3'!L181+'3.6.3'!L193+'3.6.3'!G200+'3.6.3'!L226</f>
        <v>49514024.234799996</v>
      </c>
      <c r="F8" s="350">
        <f>(C8)*22%</f>
        <v>10893085.331656</v>
      </c>
      <c r="G8" s="350">
        <f>D8*22%</f>
        <v>10893085.331656</v>
      </c>
      <c r="H8" s="350">
        <f>E8*22%</f>
        <v>10893085.331656</v>
      </c>
    </row>
    <row r="9" spans="1:11" x14ac:dyDescent="0.2">
      <c r="A9" s="44" t="s">
        <v>209</v>
      </c>
      <c r="B9" s="349"/>
      <c r="C9" s="339"/>
      <c r="D9" s="339"/>
      <c r="E9" s="339"/>
      <c r="F9" s="350"/>
      <c r="G9" s="350"/>
      <c r="H9" s="350"/>
    </row>
    <row r="10" spans="1:11" x14ac:dyDescent="0.2">
      <c r="A10" s="44" t="s">
        <v>210</v>
      </c>
      <c r="B10" s="269" t="s">
        <v>663</v>
      </c>
      <c r="C10" s="43"/>
      <c r="D10" s="43"/>
      <c r="E10" s="43"/>
      <c r="F10" s="5"/>
      <c r="G10" s="5"/>
      <c r="H10" s="5"/>
    </row>
    <row r="11" spans="1:11" ht="38.25" x14ac:dyDescent="0.2">
      <c r="A11" s="44" t="s">
        <v>211</v>
      </c>
      <c r="B11" s="269" t="s">
        <v>664</v>
      </c>
      <c r="C11" s="43"/>
      <c r="D11" s="43"/>
      <c r="E11" s="43"/>
      <c r="F11" s="5"/>
      <c r="G11" s="5"/>
      <c r="H11" s="5"/>
    </row>
    <row r="12" spans="1:11" ht="25.5" x14ac:dyDescent="0.2">
      <c r="A12" s="44" t="s">
        <v>212</v>
      </c>
      <c r="B12" s="269" t="s">
        <v>630</v>
      </c>
      <c r="C12" s="43"/>
      <c r="D12" s="43"/>
      <c r="E12" s="43"/>
      <c r="F12" s="5">
        <f>F13+F16</f>
        <v>1534934.7512787997</v>
      </c>
      <c r="G12" s="5">
        <f>G13+G16</f>
        <v>1534934.7512787997</v>
      </c>
      <c r="H12" s="5">
        <f>H13+H16</f>
        <v>1534934.7512787997</v>
      </c>
    </row>
    <row r="13" spans="1:11" x14ac:dyDescent="0.2">
      <c r="A13" s="44" t="s">
        <v>15</v>
      </c>
      <c r="B13" s="348" t="s">
        <v>665</v>
      </c>
      <c r="C13" s="339">
        <f>C8</f>
        <v>49514024.234799996</v>
      </c>
      <c r="D13" s="339">
        <f>D8</f>
        <v>49514024.234799996</v>
      </c>
      <c r="E13" s="339">
        <f>E8</f>
        <v>49514024.234799996</v>
      </c>
      <c r="F13" s="350">
        <f>(C13)*2.9%</f>
        <v>1435906.7028091997</v>
      </c>
      <c r="G13" s="350">
        <f>D13*2.9%</f>
        <v>1435906.7028091997</v>
      </c>
      <c r="H13" s="350">
        <f>E13*2.9%</f>
        <v>1435906.7028091997</v>
      </c>
    </row>
    <row r="14" spans="1:11" ht="38.25" x14ac:dyDescent="0.2">
      <c r="A14" s="44" t="s">
        <v>213</v>
      </c>
      <c r="B14" s="349"/>
      <c r="C14" s="339"/>
      <c r="D14" s="339"/>
      <c r="E14" s="339"/>
      <c r="F14" s="350"/>
      <c r="G14" s="350"/>
      <c r="H14" s="350"/>
      <c r="K14" s="3" t="s">
        <v>698</v>
      </c>
    </row>
    <row r="15" spans="1:11" ht="25.5" x14ac:dyDescent="0.2">
      <c r="A15" s="44" t="s">
        <v>214</v>
      </c>
      <c r="B15" s="269" t="s">
        <v>666</v>
      </c>
      <c r="C15" s="43"/>
      <c r="D15" s="43"/>
      <c r="E15" s="43"/>
      <c r="F15" s="5"/>
      <c r="G15" s="5"/>
      <c r="H15" s="5"/>
    </row>
    <row r="16" spans="1:11" ht="38.25" x14ac:dyDescent="0.2">
      <c r="A16" s="44" t="s">
        <v>215</v>
      </c>
      <c r="B16" s="269" t="s">
        <v>667</v>
      </c>
      <c r="C16" s="43">
        <f>C8</f>
        <v>49514024.234799996</v>
      </c>
      <c r="D16" s="43">
        <f>D8</f>
        <v>49514024.234799996</v>
      </c>
      <c r="E16" s="43">
        <f>E8</f>
        <v>49514024.234799996</v>
      </c>
      <c r="F16" s="5">
        <f>(C16)*0.2%</f>
        <v>99028.048469599991</v>
      </c>
      <c r="G16" s="5">
        <f>D16*0.2%</f>
        <v>99028.048469599991</v>
      </c>
      <c r="H16" s="5">
        <f>E16*0.2%</f>
        <v>99028.048469599991</v>
      </c>
    </row>
    <row r="17" spans="1:8" ht="38.25" x14ac:dyDescent="0.2">
      <c r="A17" s="48" t="s">
        <v>216</v>
      </c>
      <c r="B17" s="269" t="s">
        <v>668</v>
      </c>
      <c r="C17" s="43"/>
      <c r="D17" s="43"/>
      <c r="E17" s="43"/>
      <c r="F17" s="5"/>
      <c r="G17" s="5"/>
      <c r="H17" s="5"/>
    </row>
    <row r="18" spans="1:8" ht="38.25" x14ac:dyDescent="0.2">
      <c r="A18" s="48" t="s">
        <v>216</v>
      </c>
      <c r="B18" s="269"/>
      <c r="C18" s="263"/>
      <c r="D18" s="263"/>
      <c r="E18" s="263"/>
      <c r="F18" s="264"/>
      <c r="G18" s="264"/>
      <c r="H18" s="264"/>
    </row>
    <row r="19" spans="1:8" ht="25.5" x14ac:dyDescent="0.2">
      <c r="A19" s="44" t="s">
        <v>217</v>
      </c>
      <c r="B19" s="269" t="s">
        <v>631</v>
      </c>
      <c r="C19" s="43">
        <f>C8</f>
        <v>49514024.234799996</v>
      </c>
      <c r="D19" s="43">
        <f>D8</f>
        <v>49514024.234799996</v>
      </c>
      <c r="E19" s="43">
        <f>E8</f>
        <v>49514024.234799996</v>
      </c>
      <c r="F19" s="5">
        <f>F20</f>
        <v>2525215.2359747998</v>
      </c>
      <c r="G19" s="5">
        <f>G20</f>
        <v>2525215.2359747998</v>
      </c>
      <c r="H19" s="5">
        <f>H20</f>
        <v>2525215.2359747998</v>
      </c>
    </row>
    <row r="20" spans="1:8" x14ac:dyDescent="0.2">
      <c r="A20" s="44" t="s">
        <v>15</v>
      </c>
      <c r="B20" s="348" t="s">
        <v>641</v>
      </c>
      <c r="C20" s="339">
        <f>C8</f>
        <v>49514024.234799996</v>
      </c>
      <c r="D20" s="339">
        <f>D8</f>
        <v>49514024.234799996</v>
      </c>
      <c r="E20" s="339">
        <f>E8</f>
        <v>49514024.234799996</v>
      </c>
      <c r="F20" s="350">
        <f>(C20)*5.1%</f>
        <v>2525215.2359747998</v>
      </c>
      <c r="G20" s="350">
        <f>D20*5.1%</f>
        <v>2525215.2359747998</v>
      </c>
      <c r="H20" s="350">
        <f>E20*5.1%</f>
        <v>2525215.2359747998</v>
      </c>
    </row>
    <row r="21" spans="1:8" ht="25.5" x14ac:dyDescent="0.2">
      <c r="A21" s="44" t="s">
        <v>218</v>
      </c>
      <c r="B21" s="349"/>
      <c r="C21" s="339"/>
      <c r="D21" s="339"/>
      <c r="E21" s="339"/>
      <c r="F21" s="350"/>
      <c r="G21" s="350"/>
      <c r="H21" s="350"/>
    </row>
    <row r="22" spans="1:8" x14ac:dyDescent="0.2">
      <c r="A22" s="44" t="s">
        <v>137</v>
      </c>
      <c r="B22" s="45">
        <v>9000</v>
      </c>
      <c r="C22" s="45" t="s">
        <v>12</v>
      </c>
      <c r="D22" s="45" t="s">
        <v>12</v>
      </c>
      <c r="E22" s="45" t="s">
        <v>12</v>
      </c>
      <c r="F22" s="5">
        <f>F8+F13+F16+F20+0.45</f>
        <v>14953235.768909598</v>
      </c>
      <c r="G22" s="5">
        <f>G8+G13+G16+G20+0.45</f>
        <v>14953235.768909598</v>
      </c>
      <c r="H22" s="5">
        <f>H8+H13+H16+H20+0.45</f>
        <v>14953235.768909598</v>
      </c>
    </row>
    <row r="23" spans="1:8" x14ac:dyDescent="0.2">
      <c r="A23" s="30"/>
      <c r="B23" s="233"/>
      <c r="C23" s="233"/>
      <c r="D23" s="233"/>
      <c r="E23" s="233"/>
      <c r="F23" s="54"/>
      <c r="G23" s="54"/>
      <c r="H23" s="54"/>
    </row>
    <row r="24" spans="1:8" x14ac:dyDescent="0.2">
      <c r="A24" s="47" t="s">
        <v>400</v>
      </c>
      <c r="B24" s="47"/>
      <c r="C24" s="47"/>
      <c r="D24" s="47"/>
      <c r="E24" s="47"/>
    </row>
    <row r="25" spans="1:8" x14ac:dyDescent="0.2">
      <c r="A25" s="345" t="s">
        <v>205</v>
      </c>
      <c r="B25" s="345" t="s">
        <v>1</v>
      </c>
      <c r="C25" s="345" t="s">
        <v>206</v>
      </c>
      <c r="D25" s="345"/>
      <c r="E25" s="345"/>
      <c r="F25" s="335" t="s">
        <v>207</v>
      </c>
      <c r="G25" s="335"/>
      <c r="H25" s="335"/>
    </row>
    <row r="26" spans="1:8" x14ac:dyDescent="0.2">
      <c r="A26" s="345"/>
      <c r="B26" s="345"/>
      <c r="C26" s="293" t="s">
        <v>582</v>
      </c>
      <c r="D26" s="293" t="s">
        <v>614</v>
      </c>
      <c r="E26" s="293" t="s">
        <v>694</v>
      </c>
      <c r="F26" s="293" t="s">
        <v>582</v>
      </c>
      <c r="G26" s="293" t="s">
        <v>614</v>
      </c>
      <c r="H26" s="293" t="s">
        <v>694</v>
      </c>
    </row>
    <row r="27" spans="1:8" ht="38.25" x14ac:dyDescent="0.2">
      <c r="A27" s="345"/>
      <c r="B27" s="345"/>
      <c r="C27" s="45" t="s">
        <v>79</v>
      </c>
      <c r="D27" s="45" t="s">
        <v>80</v>
      </c>
      <c r="E27" s="45" t="s">
        <v>81</v>
      </c>
      <c r="F27" s="2" t="s">
        <v>79</v>
      </c>
      <c r="G27" s="2" t="s">
        <v>80</v>
      </c>
      <c r="H27" s="2" t="s">
        <v>81</v>
      </c>
    </row>
    <row r="28" spans="1:8" x14ac:dyDescent="0.2">
      <c r="A28" s="45">
        <v>1</v>
      </c>
      <c r="B28" s="45">
        <v>2</v>
      </c>
      <c r="C28" s="45">
        <v>3</v>
      </c>
      <c r="D28" s="45">
        <v>4</v>
      </c>
      <c r="E28" s="45">
        <v>5</v>
      </c>
      <c r="F28" s="2">
        <v>6</v>
      </c>
      <c r="G28" s="2">
        <v>7</v>
      </c>
      <c r="H28" s="2">
        <v>8</v>
      </c>
    </row>
    <row r="29" spans="1:8" ht="25.5" x14ac:dyDescent="0.2">
      <c r="A29" s="44" t="s">
        <v>208</v>
      </c>
      <c r="B29" s="269" t="s">
        <v>629</v>
      </c>
      <c r="C29" s="43"/>
      <c r="D29" s="43"/>
      <c r="E29" s="43"/>
      <c r="F29" s="5">
        <f>F30+F32+F33</f>
        <v>256.00079999999997</v>
      </c>
      <c r="G29" s="5">
        <f>G30+G32+G33</f>
        <v>0</v>
      </c>
      <c r="H29" s="5">
        <f>H30+H32+H33</f>
        <v>0</v>
      </c>
    </row>
    <row r="30" spans="1:8" x14ac:dyDescent="0.2">
      <c r="A30" s="44" t="s">
        <v>15</v>
      </c>
      <c r="B30" s="348" t="s">
        <v>662</v>
      </c>
      <c r="C30" s="339">
        <f>'3.6.1'!C13</f>
        <v>1163.6399999999999</v>
      </c>
      <c r="D30" s="339">
        <v>0</v>
      </c>
      <c r="E30" s="339">
        <v>0</v>
      </c>
      <c r="F30" s="350">
        <f>C30*22%</f>
        <v>256.00079999999997</v>
      </c>
      <c r="G30" s="350">
        <f>D30*22%</f>
        <v>0</v>
      </c>
      <c r="H30" s="350">
        <f>E30*22%</f>
        <v>0</v>
      </c>
    </row>
    <row r="31" spans="1:8" x14ac:dyDescent="0.2">
      <c r="A31" s="44" t="s">
        <v>209</v>
      </c>
      <c r="B31" s="349"/>
      <c r="C31" s="339"/>
      <c r="D31" s="339"/>
      <c r="E31" s="339"/>
      <c r="F31" s="350"/>
      <c r="G31" s="350"/>
      <c r="H31" s="350"/>
    </row>
    <row r="32" spans="1:8" x14ac:dyDescent="0.2">
      <c r="A32" s="44" t="s">
        <v>210</v>
      </c>
      <c r="B32" s="269" t="s">
        <v>663</v>
      </c>
      <c r="C32" s="43"/>
      <c r="D32" s="43"/>
      <c r="E32" s="43"/>
      <c r="F32" s="5"/>
      <c r="G32" s="5"/>
      <c r="H32" s="5"/>
    </row>
    <row r="33" spans="1:9" ht="38.25" x14ac:dyDescent="0.2">
      <c r="A33" s="44" t="s">
        <v>211</v>
      </c>
      <c r="B33" s="269" t="s">
        <v>664</v>
      </c>
      <c r="C33" s="43"/>
      <c r="D33" s="43"/>
      <c r="E33" s="43"/>
      <c r="F33" s="5"/>
      <c r="G33" s="5"/>
      <c r="H33" s="5"/>
    </row>
    <row r="34" spans="1:9" ht="25.5" x14ac:dyDescent="0.2">
      <c r="A34" s="44" t="s">
        <v>212</v>
      </c>
      <c r="B34" s="269" t="s">
        <v>630</v>
      </c>
      <c r="C34" s="43"/>
      <c r="D34" s="43"/>
      <c r="E34" s="43"/>
      <c r="F34" s="5">
        <f>F35+F38</f>
        <v>36.072839999999992</v>
      </c>
      <c r="G34" s="5">
        <f>G35+G38</f>
        <v>0</v>
      </c>
      <c r="H34" s="5">
        <f>H35+H38</f>
        <v>0</v>
      </c>
    </row>
    <row r="35" spans="1:9" x14ac:dyDescent="0.2">
      <c r="A35" s="44" t="s">
        <v>15</v>
      </c>
      <c r="B35" s="348" t="s">
        <v>665</v>
      </c>
      <c r="C35" s="339">
        <f>C30</f>
        <v>1163.6399999999999</v>
      </c>
      <c r="D35" s="339">
        <f>D30</f>
        <v>0</v>
      </c>
      <c r="E35" s="339">
        <f>E30</f>
        <v>0</v>
      </c>
      <c r="F35" s="350">
        <f>C35*2.9%</f>
        <v>33.74555999999999</v>
      </c>
      <c r="G35" s="350">
        <f>D35*2.9%</f>
        <v>0</v>
      </c>
      <c r="H35" s="350">
        <f>E35*2.9%</f>
        <v>0</v>
      </c>
    </row>
    <row r="36" spans="1:9" ht="38.25" x14ac:dyDescent="0.2">
      <c r="A36" s="44" t="s">
        <v>213</v>
      </c>
      <c r="B36" s="349"/>
      <c r="C36" s="339"/>
      <c r="D36" s="339"/>
      <c r="E36" s="339"/>
      <c r="F36" s="350"/>
      <c r="G36" s="350"/>
      <c r="H36" s="350"/>
    </row>
    <row r="37" spans="1:9" ht="25.5" x14ac:dyDescent="0.2">
      <c r="A37" s="44" t="s">
        <v>214</v>
      </c>
      <c r="B37" s="269" t="s">
        <v>666</v>
      </c>
      <c r="C37" s="43"/>
      <c r="D37" s="43"/>
      <c r="E37" s="43"/>
      <c r="F37" s="5"/>
      <c r="G37" s="5"/>
      <c r="H37" s="5"/>
    </row>
    <row r="38" spans="1:9" ht="38.25" x14ac:dyDescent="0.2">
      <c r="A38" s="44" t="s">
        <v>215</v>
      </c>
      <c r="B38" s="269" t="s">
        <v>667</v>
      </c>
      <c r="C38" s="43">
        <f>C30</f>
        <v>1163.6399999999999</v>
      </c>
      <c r="D38" s="43">
        <f>D30</f>
        <v>0</v>
      </c>
      <c r="E38" s="43">
        <f>E30</f>
        <v>0</v>
      </c>
      <c r="F38" s="5">
        <f>C38*0.2%</f>
        <v>2.32728</v>
      </c>
      <c r="G38" s="5">
        <f>D38*0.2%</f>
        <v>0</v>
      </c>
      <c r="H38" s="5">
        <f>E38*0.2%</f>
        <v>0</v>
      </c>
    </row>
    <row r="39" spans="1:9" ht="38.25" x14ac:dyDescent="0.2">
      <c r="A39" s="48" t="s">
        <v>216</v>
      </c>
      <c r="B39" s="269" t="s">
        <v>668</v>
      </c>
      <c r="C39" s="43"/>
      <c r="D39" s="43"/>
      <c r="E39" s="43"/>
      <c r="F39" s="5"/>
      <c r="G39" s="5"/>
      <c r="H39" s="5"/>
    </row>
    <row r="40" spans="1:9" ht="38.25" x14ac:dyDescent="0.2">
      <c r="A40" s="48" t="s">
        <v>216</v>
      </c>
      <c r="B40" s="269"/>
      <c r="C40" s="263"/>
      <c r="D40" s="263"/>
      <c r="E40" s="263"/>
      <c r="F40" s="264"/>
      <c r="G40" s="264"/>
      <c r="H40" s="264"/>
    </row>
    <row r="41" spans="1:9" ht="25.5" x14ac:dyDescent="0.2">
      <c r="A41" s="44" t="s">
        <v>217</v>
      </c>
      <c r="B41" s="269" t="s">
        <v>631</v>
      </c>
      <c r="C41" s="43">
        <f>C30</f>
        <v>1163.6399999999999</v>
      </c>
      <c r="D41" s="43">
        <f>D30</f>
        <v>0</v>
      </c>
      <c r="E41" s="43">
        <f>E30</f>
        <v>0</v>
      </c>
      <c r="F41" s="5">
        <f>F42</f>
        <v>59.345639999999989</v>
      </c>
      <c r="G41" s="5">
        <f>G42</f>
        <v>0</v>
      </c>
      <c r="H41" s="5">
        <f>H42</f>
        <v>0</v>
      </c>
    </row>
    <row r="42" spans="1:9" x14ac:dyDescent="0.2">
      <c r="A42" s="44" t="s">
        <v>15</v>
      </c>
      <c r="B42" s="348" t="s">
        <v>641</v>
      </c>
      <c r="C42" s="339">
        <f>C30</f>
        <v>1163.6399999999999</v>
      </c>
      <c r="D42" s="339">
        <f>D30</f>
        <v>0</v>
      </c>
      <c r="E42" s="339">
        <f>E30</f>
        <v>0</v>
      </c>
      <c r="F42" s="350">
        <f>C42*5.1%</f>
        <v>59.345639999999989</v>
      </c>
      <c r="G42" s="350">
        <f>D42*5.1%</f>
        <v>0</v>
      </c>
      <c r="H42" s="350">
        <f>E42*5.1%</f>
        <v>0</v>
      </c>
    </row>
    <row r="43" spans="1:9" ht="25.5" x14ac:dyDescent="0.2">
      <c r="A43" s="44" t="s">
        <v>218</v>
      </c>
      <c r="B43" s="349"/>
      <c r="C43" s="339"/>
      <c r="D43" s="339"/>
      <c r="E43" s="339"/>
      <c r="F43" s="350"/>
      <c r="G43" s="350"/>
      <c r="H43" s="350"/>
    </row>
    <row r="44" spans="1:9" x14ac:dyDescent="0.2">
      <c r="A44" s="44" t="s">
        <v>137</v>
      </c>
      <c r="B44" s="45">
        <v>9000</v>
      </c>
      <c r="C44" s="45" t="s">
        <v>12</v>
      </c>
      <c r="D44" s="45" t="s">
        <v>12</v>
      </c>
      <c r="E44" s="45" t="s">
        <v>12</v>
      </c>
      <c r="F44" s="70">
        <f>F30+F35+F38+F42</f>
        <v>351.41927999999996</v>
      </c>
      <c r="G44" s="70">
        <v>0</v>
      </c>
      <c r="H44" s="70">
        <v>0</v>
      </c>
    </row>
    <row r="45" spans="1:9" x14ac:dyDescent="0.2">
      <c r="A45" s="47"/>
      <c r="B45" s="47"/>
      <c r="C45" s="47"/>
      <c r="D45" s="47"/>
      <c r="E45" s="47"/>
      <c r="I45" s="201" t="s">
        <v>534</v>
      </c>
    </row>
    <row r="46" spans="1:9" x14ac:dyDescent="0.2">
      <c r="A46" s="47" t="s">
        <v>605</v>
      </c>
      <c r="B46" s="47"/>
      <c r="C46" s="47"/>
      <c r="D46" s="47"/>
      <c r="E46" s="47"/>
    </row>
    <row r="47" spans="1:9" ht="12.75" hidden="1" customHeight="1" x14ac:dyDescent="0.2"/>
    <row r="48" spans="1:9" x14ac:dyDescent="0.2">
      <c r="A48" s="335" t="s">
        <v>205</v>
      </c>
      <c r="B48" s="335" t="s">
        <v>1</v>
      </c>
      <c r="C48" s="335" t="s">
        <v>206</v>
      </c>
      <c r="D48" s="335"/>
      <c r="E48" s="335"/>
      <c r="F48" s="335" t="s">
        <v>207</v>
      </c>
      <c r="G48" s="335"/>
      <c r="H48" s="335"/>
    </row>
    <row r="49" spans="1:8" x14ac:dyDescent="0.2">
      <c r="A49" s="335"/>
      <c r="B49" s="335"/>
      <c r="C49" s="293" t="s">
        <v>582</v>
      </c>
      <c r="D49" s="293" t="s">
        <v>614</v>
      </c>
      <c r="E49" s="293" t="s">
        <v>694</v>
      </c>
      <c r="F49" s="293" t="s">
        <v>582</v>
      </c>
      <c r="G49" s="293" t="s">
        <v>614</v>
      </c>
      <c r="H49" s="293" t="s">
        <v>694</v>
      </c>
    </row>
    <row r="50" spans="1:8" ht="38.25" x14ac:dyDescent="0.2">
      <c r="A50" s="335"/>
      <c r="B50" s="335"/>
      <c r="C50" s="2" t="s">
        <v>79</v>
      </c>
      <c r="D50" s="2" t="s">
        <v>80</v>
      </c>
      <c r="E50" s="2" t="s">
        <v>81</v>
      </c>
      <c r="F50" s="2" t="s">
        <v>79</v>
      </c>
      <c r="G50" s="18" t="s">
        <v>80</v>
      </c>
      <c r="H50" s="2" t="s">
        <v>81</v>
      </c>
    </row>
    <row r="51" spans="1:8" x14ac:dyDescent="0.2">
      <c r="A51" s="2">
        <v>1</v>
      </c>
      <c r="B51" s="2">
        <v>2</v>
      </c>
      <c r="C51" s="2">
        <v>3</v>
      </c>
      <c r="D51" s="2">
        <v>4</v>
      </c>
      <c r="E51" s="2">
        <v>5</v>
      </c>
      <c r="F51" s="2">
        <v>6</v>
      </c>
      <c r="G51" s="2">
        <v>7</v>
      </c>
      <c r="H51" s="2">
        <v>8</v>
      </c>
    </row>
    <row r="52" spans="1:8" ht="25.5" x14ac:dyDescent="0.2">
      <c r="A52" s="6" t="s">
        <v>208</v>
      </c>
      <c r="B52" s="266" t="s">
        <v>629</v>
      </c>
      <c r="C52" s="5"/>
      <c r="D52" s="5"/>
      <c r="E52" s="5"/>
      <c r="F52" s="5">
        <f>F53+F55+F56</f>
        <v>2155.8658</v>
      </c>
      <c r="G52" s="5">
        <f>G53+G55+G56</f>
        <v>2155.8658</v>
      </c>
      <c r="H52" s="5">
        <f>H53+H55+H56</f>
        <v>2155.8658</v>
      </c>
    </row>
    <row r="53" spans="1:8" x14ac:dyDescent="0.2">
      <c r="A53" s="6" t="s">
        <v>15</v>
      </c>
      <c r="B53" s="337" t="s">
        <v>662</v>
      </c>
      <c r="C53" s="350">
        <f>'3.6.3'!G160</f>
        <v>9799.39</v>
      </c>
      <c r="D53" s="350">
        <f>C53</f>
        <v>9799.39</v>
      </c>
      <c r="E53" s="350">
        <f>D53</f>
        <v>9799.39</v>
      </c>
      <c r="F53" s="350">
        <f>C53*22%</f>
        <v>2155.8658</v>
      </c>
      <c r="G53" s="350">
        <f>D53*22%</f>
        <v>2155.8658</v>
      </c>
      <c r="H53" s="350">
        <f>E53*22%</f>
        <v>2155.8658</v>
      </c>
    </row>
    <row r="54" spans="1:8" x14ac:dyDescent="0.2">
      <c r="A54" s="6" t="s">
        <v>209</v>
      </c>
      <c r="B54" s="338"/>
      <c r="C54" s="350"/>
      <c r="D54" s="350"/>
      <c r="E54" s="350"/>
      <c r="F54" s="350"/>
      <c r="G54" s="350"/>
      <c r="H54" s="350"/>
    </row>
    <row r="55" spans="1:8" x14ac:dyDescent="0.2">
      <c r="A55" s="6" t="s">
        <v>210</v>
      </c>
      <c r="B55" s="266" t="s">
        <v>663</v>
      </c>
      <c r="C55" s="5"/>
      <c r="D55" s="5"/>
      <c r="E55" s="5"/>
      <c r="F55" s="5"/>
      <c r="G55" s="5"/>
      <c r="H55" s="5"/>
    </row>
    <row r="56" spans="1:8" ht="38.25" x14ac:dyDescent="0.2">
      <c r="A56" s="6" t="s">
        <v>211</v>
      </c>
      <c r="B56" s="266" t="s">
        <v>664</v>
      </c>
      <c r="C56" s="5"/>
      <c r="D56" s="5"/>
      <c r="E56" s="5"/>
      <c r="F56" s="5"/>
      <c r="G56" s="5"/>
      <c r="H56" s="5"/>
    </row>
    <row r="57" spans="1:8" ht="25.5" x14ac:dyDescent="0.2">
      <c r="A57" s="6" t="s">
        <v>212</v>
      </c>
      <c r="B57" s="266" t="s">
        <v>630</v>
      </c>
      <c r="C57" s="5"/>
      <c r="D57" s="5"/>
      <c r="E57" s="5"/>
      <c r="F57" s="5">
        <f>F58+F61</f>
        <v>303.78108999999995</v>
      </c>
      <c r="G57" s="5">
        <f>G58+G61</f>
        <v>303.78108999999995</v>
      </c>
      <c r="H57" s="5">
        <f>H58+H61</f>
        <v>303.78108999999995</v>
      </c>
    </row>
    <row r="58" spans="1:8" x14ac:dyDescent="0.2">
      <c r="A58" s="6" t="s">
        <v>15</v>
      </c>
      <c r="B58" s="337" t="s">
        <v>665</v>
      </c>
      <c r="C58" s="350">
        <f>C53</f>
        <v>9799.39</v>
      </c>
      <c r="D58" s="350">
        <f>D53</f>
        <v>9799.39</v>
      </c>
      <c r="E58" s="350">
        <f>E53</f>
        <v>9799.39</v>
      </c>
      <c r="F58" s="350">
        <f>C58*2.9%</f>
        <v>284.18230999999997</v>
      </c>
      <c r="G58" s="350">
        <f>D58*2.9%</f>
        <v>284.18230999999997</v>
      </c>
      <c r="H58" s="350">
        <f>E58*2.9%</f>
        <v>284.18230999999997</v>
      </c>
    </row>
    <row r="59" spans="1:8" ht="38.25" x14ac:dyDescent="0.2">
      <c r="A59" s="6" t="s">
        <v>213</v>
      </c>
      <c r="B59" s="338"/>
      <c r="C59" s="350"/>
      <c r="D59" s="350"/>
      <c r="E59" s="350"/>
      <c r="F59" s="350"/>
      <c r="G59" s="350"/>
      <c r="H59" s="350"/>
    </row>
    <row r="60" spans="1:8" ht="25.5" x14ac:dyDescent="0.2">
      <c r="A60" s="6" t="s">
        <v>214</v>
      </c>
      <c r="B60" s="266" t="s">
        <v>666</v>
      </c>
      <c r="C60" s="5"/>
      <c r="D60" s="5"/>
      <c r="E60" s="5"/>
      <c r="F60" s="5"/>
      <c r="G60" s="5"/>
      <c r="H60" s="5"/>
    </row>
    <row r="61" spans="1:8" ht="38.25" x14ac:dyDescent="0.2">
      <c r="A61" s="6" t="s">
        <v>215</v>
      </c>
      <c r="B61" s="266" t="s">
        <v>667</v>
      </c>
      <c r="C61" s="5">
        <f>C53</f>
        <v>9799.39</v>
      </c>
      <c r="D61" s="5">
        <f>D53</f>
        <v>9799.39</v>
      </c>
      <c r="E61" s="5">
        <f>E53</f>
        <v>9799.39</v>
      </c>
      <c r="F61" s="5">
        <f>C61*0.2%</f>
        <v>19.598779999999998</v>
      </c>
      <c r="G61" s="5">
        <f>D61*0.2%</f>
        <v>19.598779999999998</v>
      </c>
      <c r="H61" s="5">
        <f>E61*0.2%</f>
        <v>19.598779999999998</v>
      </c>
    </row>
    <row r="62" spans="1:8" ht="38.25" x14ac:dyDescent="0.2">
      <c r="A62" s="4" t="s">
        <v>216</v>
      </c>
      <c r="B62" s="266" t="s">
        <v>668</v>
      </c>
      <c r="C62" s="5"/>
      <c r="D62" s="5"/>
      <c r="E62" s="5"/>
      <c r="F62" s="5"/>
      <c r="G62" s="5"/>
      <c r="H62" s="5"/>
    </row>
    <row r="63" spans="1:8" ht="38.25" x14ac:dyDescent="0.2">
      <c r="A63" s="4" t="s">
        <v>216</v>
      </c>
      <c r="B63" s="266"/>
      <c r="C63" s="264"/>
      <c r="D63" s="264"/>
      <c r="E63" s="264"/>
      <c r="F63" s="264"/>
      <c r="G63" s="264"/>
      <c r="H63" s="264"/>
    </row>
    <row r="64" spans="1:8" ht="25.5" x14ac:dyDescent="0.2">
      <c r="A64" s="6" t="s">
        <v>217</v>
      </c>
      <c r="B64" s="266" t="s">
        <v>631</v>
      </c>
      <c r="C64" s="5">
        <f>C53</f>
        <v>9799.39</v>
      </c>
      <c r="D64" s="5">
        <f>D53</f>
        <v>9799.39</v>
      </c>
      <c r="E64" s="5">
        <f>E53</f>
        <v>9799.39</v>
      </c>
      <c r="F64" s="5">
        <f>F65</f>
        <v>499.75888999999995</v>
      </c>
      <c r="G64" s="5">
        <f>G65</f>
        <v>499.75888999999995</v>
      </c>
      <c r="H64" s="5">
        <f>H65</f>
        <v>499.75888999999995</v>
      </c>
    </row>
    <row r="65" spans="1:8" x14ac:dyDescent="0.2">
      <c r="A65" s="6" t="s">
        <v>15</v>
      </c>
      <c r="B65" s="337" t="s">
        <v>641</v>
      </c>
      <c r="C65" s="350">
        <f>C53</f>
        <v>9799.39</v>
      </c>
      <c r="D65" s="350">
        <f>D53</f>
        <v>9799.39</v>
      </c>
      <c r="E65" s="350">
        <f>E53</f>
        <v>9799.39</v>
      </c>
      <c r="F65" s="350">
        <f>C65*5.1%-0.01</f>
        <v>499.75888999999995</v>
      </c>
      <c r="G65" s="350">
        <f>D65*5.1%-0.01</f>
        <v>499.75888999999995</v>
      </c>
      <c r="H65" s="350">
        <f>E65*5.1%-0.01</f>
        <v>499.75888999999995</v>
      </c>
    </row>
    <row r="66" spans="1:8" ht="25.5" x14ac:dyDescent="0.2">
      <c r="A66" s="6" t="s">
        <v>218</v>
      </c>
      <c r="B66" s="338"/>
      <c r="C66" s="350"/>
      <c r="D66" s="350"/>
      <c r="E66" s="350"/>
      <c r="F66" s="350"/>
      <c r="G66" s="350"/>
      <c r="H66" s="350"/>
    </row>
    <row r="67" spans="1:8" x14ac:dyDescent="0.2">
      <c r="A67" s="6" t="s">
        <v>137</v>
      </c>
      <c r="B67" s="2">
        <v>9000</v>
      </c>
      <c r="C67" s="2" t="s">
        <v>12</v>
      </c>
      <c r="D67" s="2" t="s">
        <v>12</v>
      </c>
      <c r="E67" s="2" t="s">
        <v>12</v>
      </c>
      <c r="F67" s="5">
        <f>F53+F58+F61+F65</f>
        <v>2959.40578</v>
      </c>
      <c r="G67" s="249">
        <f>G53+G58+G61+G65</f>
        <v>2959.40578</v>
      </c>
      <c r="H67" s="249">
        <f>H53+H58+H61+H65</f>
        <v>2959.40578</v>
      </c>
    </row>
    <row r="69" spans="1:8" x14ac:dyDescent="0.2">
      <c r="F69" s="80"/>
      <c r="G69" s="80"/>
      <c r="H69" s="80"/>
    </row>
  </sheetData>
  <mergeCells count="75">
    <mergeCell ref="F65:F66"/>
    <mergeCell ref="G65:G66"/>
    <mergeCell ref="H65:H66"/>
    <mergeCell ref="F58:F59"/>
    <mergeCell ref="F53:F54"/>
    <mergeCell ref="G53:G54"/>
    <mergeCell ref="H53:H54"/>
    <mergeCell ref="G58:G59"/>
    <mergeCell ref="H58:H59"/>
    <mergeCell ref="D65:D66"/>
    <mergeCell ref="E65:E66"/>
    <mergeCell ref="E53:E54"/>
    <mergeCell ref="B58:B59"/>
    <mergeCell ref="C58:C59"/>
    <mergeCell ref="D58:D59"/>
    <mergeCell ref="E58:E59"/>
    <mergeCell ref="B65:B66"/>
    <mergeCell ref="C65:C66"/>
    <mergeCell ref="B53:B54"/>
    <mergeCell ref="C53:C54"/>
    <mergeCell ref="D53:D54"/>
    <mergeCell ref="A48:A50"/>
    <mergeCell ref="B48:B50"/>
    <mergeCell ref="C48:E48"/>
    <mergeCell ref="B42:B43"/>
    <mergeCell ref="F48:H48"/>
    <mergeCell ref="F42:F43"/>
    <mergeCell ref="G42:G43"/>
    <mergeCell ref="H42:H43"/>
    <mergeCell ref="C42:C43"/>
    <mergeCell ref="D42:D43"/>
    <mergeCell ref="E42:E43"/>
    <mergeCell ref="B35:B36"/>
    <mergeCell ref="C35:C36"/>
    <mergeCell ref="D35:D36"/>
    <mergeCell ref="E35:E36"/>
    <mergeCell ref="B30:B31"/>
    <mergeCell ref="C30:C31"/>
    <mergeCell ref="D30:D31"/>
    <mergeCell ref="E30:E31"/>
    <mergeCell ref="H30:H31"/>
    <mergeCell ref="G35:G36"/>
    <mergeCell ref="H35:H36"/>
    <mergeCell ref="E8:E9"/>
    <mergeCell ref="F30:F31"/>
    <mergeCell ref="G30:G31"/>
    <mergeCell ref="H20:H21"/>
    <mergeCell ref="G8:G9"/>
    <mergeCell ref="F20:F21"/>
    <mergeCell ref="G20:G21"/>
    <mergeCell ref="H8:H9"/>
    <mergeCell ref="E13:E14"/>
    <mergeCell ref="F35:F36"/>
    <mergeCell ref="A3:A5"/>
    <mergeCell ref="B3:B5"/>
    <mergeCell ref="C3:E3"/>
    <mergeCell ref="F3:H3"/>
    <mergeCell ref="C8:C9"/>
    <mergeCell ref="D8:D9"/>
    <mergeCell ref="F8:F9"/>
    <mergeCell ref="B8:B9"/>
    <mergeCell ref="B13:B14"/>
    <mergeCell ref="A25:A27"/>
    <mergeCell ref="B25:B27"/>
    <mergeCell ref="C25:E25"/>
    <mergeCell ref="F25:H25"/>
    <mergeCell ref="F13:F14"/>
    <mergeCell ref="G13:G14"/>
    <mergeCell ref="H13:H14"/>
    <mergeCell ref="B20:B21"/>
    <mergeCell ref="C20:C21"/>
    <mergeCell ref="D20:D21"/>
    <mergeCell ref="E20:E21"/>
    <mergeCell ref="C13:C14"/>
    <mergeCell ref="D13:D14"/>
  </mergeCells>
  <phoneticPr fontId="12" type="noConversion"/>
  <hyperlinks>
    <hyperlink ref="A17" location="Par1417" display="Par1417"/>
    <hyperlink ref="A39" location="Par1417" display="Par1417"/>
    <hyperlink ref="A62" location="Par1417" display="Par1417"/>
  </hyperlinks>
  <pageMargins left="0.25" right="0.25" top="0.75" bottom="0.75" header="0.3" footer="0.3"/>
  <pageSetup paperSize="9" scale="99" fitToHeight="0" orientation="landscape" r:id="rId1"/>
  <rowBreaks count="2" manualBreakCount="2">
    <brk id="22" max="7" man="1"/>
    <brk id="4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34" zoomScaleNormal="100" workbookViewId="0">
      <selection activeCell="A57" sqref="A57"/>
    </sheetView>
  </sheetViews>
  <sheetFormatPr defaultRowHeight="15" x14ac:dyDescent="0.25"/>
  <cols>
    <col min="1" max="1" width="11.28515625" style="1" bestFit="1" customWidth="1"/>
    <col min="2" max="2" width="61.42578125" style="1" customWidth="1"/>
    <col min="3" max="3" width="9.28515625" style="1" bestFit="1" customWidth="1"/>
    <col min="4" max="4" width="13" style="1" customWidth="1"/>
    <col min="5" max="5" width="15.7109375" style="1" customWidth="1"/>
    <col min="6" max="6" width="14.28515625" style="1" bestFit="1" customWidth="1"/>
    <col min="7" max="7" width="15.28515625" style="1" customWidth="1"/>
    <col min="8" max="8" width="15.140625" style="1" customWidth="1"/>
    <col min="9" max="9" width="15" style="1" customWidth="1"/>
    <col min="10" max="10" width="16.28515625" style="1" customWidth="1"/>
    <col min="11" max="12" width="14.140625" style="1" customWidth="1"/>
    <col min="13" max="16384" width="9.140625" style="1"/>
  </cols>
  <sheetData>
    <row r="1" spans="1:12" x14ac:dyDescent="0.25">
      <c r="A1" s="331" t="s">
        <v>106</v>
      </c>
      <c r="B1" s="331"/>
      <c r="C1" s="331"/>
    </row>
    <row r="2" spans="1:12" ht="15.75" x14ac:dyDescent="0.25">
      <c r="A2" s="328" t="s">
        <v>75</v>
      </c>
      <c r="B2" s="328" t="s">
        <v>0</v>
      </c>
      <c r="C2" s="328" t="s">
        <v>76</v>
      </c>
      <c r="D2" s="328" t="s">
        <v>77</v>
      </c>
      <c r="E2" s="332" t="s">
        <v>506</v>
      </c>
      <c r="F2" s="328" t="s">
        <v>78</v>
      </c>
      <c r="G2" s="328"/>
      <c r="H2" s="328"/>
      <c r="I2" s="328"/>
    </row>
    <row r="3" spans="1:12" ht="15.75" x14ac:dyDescent="0.25">
      <c r="A3" s="328"/>
      <c r="B3" s="328"/>
      <c r="C3" s="328"/>
      <c r="D3" s="328"/>
      <c r="E3" s="333"/>
      <c r="F3" s="17" t="s">
        <v>582</v>
      </c>
      <c r="G3" s="17" t="s">
        <v>622</v>
      </c>
      <c r="H3" s="17" t="s">
        <v>693</v>
      </c>
      <c r="I3" s="328" t="s">
        <v>5</v>
      </c>
    </row>
    <row r="4" spans="1:12" ht="63" customHeight="1" x14ac:dyDescent="0.25">
      <c r="A4" s="328"/>
      <c r="B4" s="328"/>
      <c r="C4" s="328"/>
      <c r="D4" s="328"/>
      <c r="E4" s="334"/>
      <c r="F4" s="17" t="s">
        <v>79</v>
      </c>
      <c r="G4" s="17" t="s">
        <v>80</v>
      </c>
      <c r="H4" s="17" t="s">
        <v>81</v>
      </c>
      <c r="I4" s="328"/>
    </row>
    <row r="5" spans="1:12" x14ac:dyDescent="0.25">
      <c r="A5" s="18">
        <v>1</v>
      </c>
      <c r="B5" s="18">
        <v>2</v>
      </c>
      <c r="C5" s="18">
        <v>3</v>
      </c>
      <c r="D5" s="18">
        <v>4</v>
      </c>
      <c r="E5" s="18" t="s">
        <v>507</v>
      </c>
      <c r="F5" s="18">
        <v>5</v>
      </c>
      <c r="G5" s="18">
        <v>6</v>
      </c>
      <c r="H5" s="18">
        <v>7</v>
      </c>
      <c r="I5" s="18">
        <v>8</v>
      </c>
    </row>
    <row r="6" spans="1:12" ht="15.75" x14ac:dyDescent="0.25">
      <c r="A6" s="19">
        <v>1</v>
      </c>
      <c r="B6" s="21" t="s">
        <v>82</v>
      </c>
      <c r="C6" s="17">
        <v>26000</v>
      </c>
      <c r="D6" s="17" t="s">
        <v>12</v>
      </c>
      <c r="E6" s="115"/>
      <c r="F6" s="69">
        <f>'Раздел 1.Поступления и выплаты'!D81+'Раздел 1.Поступления и выплаты'!E81</f>
        <v>27146421.050000001</v>
      </c>
      <c r="G6" s="69">
        <f>'Раздел 1.Поступления и выплаты'!F81+'Раздел 1.Поступления и выплаты'!G81</f>
        <v>25936310.669999998</v>
      </c>
      <c r="H6" s="69">
        <f>'Раздел 1.Поступления и выплаты'!H81+'Раздел 1.Поступления и выплаты'!I81</f>
        <v>21162057.850000001</v>
      </c>
      <c r="I6" s="69">
        <v>0</v>
      </c>
      <c r="J6" s="52">
        <f>F10+F17</f>
        <v>27146421.050000001</v>
      </c>
      <c r="K6" s="52">
        <f>G10+G17</f>
        <v>25936310.670000002</v>
      </c>
      <c r="L6" s="52">
        <f>H10+H17</f>
        <v>21162057.850000001</v>
      </c>
    </row>
    <row r="7" spans="1:12" ht="15.75" x14ac:dyDescent="0.25">
      <c r="A7" s="330" t="s">
        <v>456</v>
      </c>
      <c r="B7" s="20" t="s">
        <v>15</v>
      </c>
      <c r="C7" s="328">
        <v>26100</v>
      </c>
      <c r="D7" s="328" t="s">
        <v>12</v>
      </c>
      <c r="E7" s="115"/>
      <c r="F7" s="327">
        <v>0</v>
      </c>
      <c r="G7" s="327">
        <v>0</v>
      </c>
      <c r="H7" s="327">
        <v>0</v>
      </c>
      <c r="I7" s="327">
        <v>0</v>
      </c>
    </row>
    <row r="8" spans="1:12" ht="141.75" x14ac:dyDescent="0.25">
      <c r="A8" s="330"/>
      <c r="B8" s="20" t="s">
        <v>83</v>
      </c>
      <c r="C8" s="328"/>
      <c r="D8" s="328"/>
      <c r="E8" s="115"/>
      <c r="F8" s="327"/>
      <c r="G8" s="327"/>
      <c r="H8" s="327"/>
      <c r="I8" s="327"/>
    </row>
    <row r="9" spans="1:12" ht="63" x14ac:dyDescent="0.25">
      <c r="A9" s="19" t="s">
        <v>107</v>
      </c>
      <c r="B9" s="20" t="s">
        <v>84</v>
      </c>
      <c r="C9" s="17">
        <v>26200</v>
      </c>
      <c r="D9" s="17" t="s">
        <v>12</v>
      </c>
      <c r="E9" s="115"/>
      <c r="F9" s="69">
        <v>0</v>
      </c>
      <c r="G9" s="74">
        <v>0</v>
      </c>
      <c r="H9" s="74">
        <v>0</v>
      </c>
      <c r="I9" s="74">
        <v>0</v>
      </c>
    </row>
    <row r="10" spans="1:12" ht="63" x14ac:dyDescent="0.25">
      <c r="A10" s="19" t="s">
        <v>108</v>
      </c>
      <c r="B10" s="20" t="s">
        <v>672</v>
      </c>
      <c r="C10" s="17">
        <v>26300</v>
      </c>
      <c r="D10" s="17" t="s">
        <v>12</v>
      </c>
      <c r="E10" s="115"/>
      <c r="F10" s="69">
        <f>F15</f>
        <v>1308403.04</v>
      </c>
      <c r="G10" s="69">
        <f>G15</f>
        <v>1308403.04</v>
      </c>
      <c r="H10" s="69">
        <f>H15</f>
        <v>1308403.04</v>
      </c>
      <c r="I10" s="69">
        <v>0</v>
      </c>
      <c r="J10" s="51"/>
      <c r="K10" s="51"/>
      <c r="L10" s="51"/>
    </row>
    <row r="11" spans="1:12" ht="15.75" x14ac:dyDescent="0.25">
      <c r="A11" s="321" t="s">
        <v>109</v>
      </c>
      <c r="B11" s="20" t="s">
        <v>15</v>
      </c>
      <c r="C11" s="328">
        <v>26310</v>
      </c>
      <c r="D11" s="328"/>
      <c r="E11" s="115"/>
      <c r="F11" s="327">
        <v>0</v>
      </c>
      <c r="G11" s="327">
        <v>0</v>
      </c>
      <c r="H11" s="327">
        <v>0</v>
      </c>
      <c r="I11" s="327">
        <v>0</v>
      </c>
    </row>
    <row r="12" spans="1:12" ht="15" customHeight="1" x14ac:dyDescent="0.25">
      <c r="A12" s="322"/>
      <c r="B12" s="21" t="s">
        <v>85</v>
      </c>
      <c r="C12" s="328"/>
      <c r="D12" s="328"/>
      <c r="E12" s="115"/>
      <c r="F12" s="327"/>
      <c r="G12" s="327"/>
      <c r="H12" s="327"/>
      <c r="I12" s="327"/>
    </row>
    <row r="13" spans="1:12" ht="15" customHeight="1" x14ac:dyDescent="0.25">
      <c r="A13" s="322"/>
      <c r="B13" s="21" t="s">
        <v>673</v>
      </c>
      <c r="C13" s="115" t="s">
        <v>509</v>
      </c>
      <c r="D13" s="115"/>
      <c r="E13" s="115"/>
      <c r="F13" s="113"/>
      <c r="G13" s="113"/>
      <c r="H13" s="113"/>
      <c r="I13" s="113"/>
    </row>
    <row r="14" spans="1:12" ht="15" customHeight="1" x14ac:dyDescent="0.25">
      <c r="A14" s="323"/>
      <c r="B14" s="21" t="s">
        <v>674</v>
      </c>
      <c r="C14" s="260" t="s">
        <v>675</v>
      </c>
      <c r="D14" s="260"/>
      <c r="E14" s="260"/>
      <c r="F14" s="259"/>
      <c r="G14" s="259"/>
      <c r="H14" s="259"/>
      <c r="I14" s="259"/>
    </row>
    <row r="15" spans="1:12" ht="15.75" x14ac:dyDescent="0.25">
      <c r="A15" s="329" t="s">
        <v>110</v>
      </c>
      <c r="B15" s="20" t="s">
        <v>15</v>
      </c>
      <c r="C15" s="328">
        <v>26320</v>
      </c>
      <c r="D15" s="328"/>
      <c r="E15" s="115"/>
      <c r="F15" s="327">
        <f>33498.84+32472+31200+63000+24000+27768+70191.36+18000+950000+24000+34272.84</f>
        <v>1308403.04</v>
      </c>
      <c r="G15" s="327">
        <f>F15</f>
        <v>1308403.04</v>
      </c>
      <c r="H15" s="327">
        <f>F15</f>
        <v>1308403.04</v>
      </c>
      <c r="I15" s="327">
        <v>0</v>
      </c>
    </row>
    <row r="16" spans="1:12" ht="15.75" x14ac:dyDescent="0.25">
      <c r="A16" s="329"/>
      <c r="B16" s="20" t="s">
        <v>86</v>
      </c>
      <c r="C16" s="328"/>
      <c r="D16" s="328"/>
      <c r="E16" s="115"/>
      <c r="F16" s="327"/>
      <c r="G16" s="327"/>
      <c r="H16" s="327"/>
      <c r="I16" s="327"/>
    </row>
    <row r="17" spans="1:12" ht="63" x14ac:dyDescent="0.25">
      <c r="A17" s="19" t="s">
        <v>111</v>
      </c>
      <c r="B17" s="20" t="s">
        <v>87</v>
      </c>
      <c r="C17" s="17">
        <v>26400</v>
      </c>
      <c r="D17" s="17" t="s">
        <v>12</v>
      </c>
      <c r="E17" s="115"/>
      <c r="F17" s="69">
        <f>F18+F23+F35</f>
        <v>25838018.010000002</v>
      </c>
      <c r="G17" s="69">
        <f>G18+G23+G40</f>
        <v>24627907.630000003</v>
      </c>
      <c r="H17" s="69">
        <f>H18+H23+H40</f>
        <v>19853654.810000002</v>
      </c>
      <c r="I17" s="69">
        <v>0</v>
      </c>
      <c r="J17" s="52">
        <f>F18+F23+F35</f>
        <v>25838018.010000002</v>
      </c>
      <c r="K17" s="52">
        <f>G18+G23+G35</f>
        <v>24627907.630000003</v>
      </c>
      <c r="L17" s="52">
        <f>H18+H23+H35</f>
        <v>19853654.810000002</v>
      </c>
    </row>
    <row r="18" spans="1:12" ht="15.75" x14ac:dyDescent="0.25">
      <c r="A18" s="330" t="s">
        <v>112</v>
      </c>
      <c r="B18" s="20" t="s">
        <v>15</v>
      </c>
      <c r="C18" s="328">
        <v>26410</v>
      </c>
      <c r="D18" s="328" t="s">
        <v>12</v>
      </c>
      <c r="E18" s="115"/>
      <c r="F18" s="327">
        <f>F22</f>
        <v>5867514.9600000009</v>
      </c>
      <c r="G18" s="327">
        <f>G22</f>
        <v>5867514.96</v>
      </c>
      <c r="H18" s="327">
        <f>H22</f>
        <v>5867514.96</v>
      </c>
      <c r="I18" s="327">
        <v>0</v>
      </c>
    </row>
    <row r="19" spans="1:12" ht="47.25" x14ac:dyDescent="0.25">
      <c r="A19" s="330"/>
      <c r="B19" s="20" t="s">
        <v>88</v>
      </c>
      <c r="C19" s="328"/>
      <c r="D19" s="328"/>
      <c r="E19" s="115"/>
      <c r="F19" s="327"/>
      <c r="G19" s="327"/>
      <c r="H19" s="327"/>
      <c r="I19" s="327"/>
    </row>
    <row r="20" spans="1:12" ht="15.75" x14ac:dyDescent="0.25">
      <c r="A20" s="330" t="s">
        <v>89</v>
      </c>
      <c r="B20" s="20" t="s">
        <v>15</v>
      </c>
      <c r="C20" s="328">
        <v>26411</v>
      </c>
      <c r="D20" s="328" t="s">
        <v>12</v>
      </c>
      <c r="E20" s="115"/>
      <c r="F20" s="327">
        <v>0</v>
      </c>
      <c r="G20" s="327">
        <v>0</v>
      </c>
      <c r="H20" s="327">
        <v>0</v>
      </c>
      <c r="I20" s="327">
        <v>0</v>
      </c>
    </row>
    <row r="21" spans="1:12" ht="15.75" x14ac:dyDescent="0.25">
      <c r="A21" s="330"/>
      <c r="B21" s="21" t="s">
        <v>85</v>
      </c>
      <c r="C21" s="328"/>
      <c r="D21" s="328"/>
      <c r="E21" s="115"/>
      <c r="F21" s="327"/>
      <c r="G21" s="327"/>
      <c r="H21" s="327"/>
      <c r="I21" s="327"/>
    </row>
    <row r="22" spans="1:12" ht="15.75" x14ac:dyDescent="0.25">
      <c r="A22" s="19" t="s">
        <v>90</v>
      </c>
      <c r="B22" s="20" t="s">
        <v>91</v>
      </c>
      <c r="C22" s="17">
        <v>26412</v>
      </c>
      <c r="D22" s="17" t="s">
        <v>12</v>
      </c>
      <c r="E22" s="115"/>
      <c r="F22" s="69">
        <f>'3.13.1'!D11+'3.13.1'!E11+'3.13.1'!F11+'3.13.1'!G11+'3.13.1'!J11+'3.13.1'!P11+'3.13.1'!Q11+'3.13.1'!R11-F15-F40</f>
        <v>5867514.9600000009</v>
      </c>
      <c r="G22" s="69">
        <f>'3.13.1'!D34+'3.13.1'!F34+'3.13.1'!J34+'3.13.1'!P34-G15-G40</f>
        <v>5867514.96</v>
      </c>
      <c r="H22" s="69">
        <f>'3.13.1'!D57+'3.13.1'!F57+'3.13.1'!J57+'3.13.1'!P57-H15-H40</f>
        <v>5867514.96</v>
      </c>
      <c r="I22" s="69">
        <v>0</v>
      </c>
    </row>
    <row r="23" spans="1:12" ht="45" x14ac:dyDescent="0.25">
      <c r="A23" s="19" t="s">
        <v>113</v>
      </c>
      <c r="B23" s="21" t="s">
        <v>92</v>
      </c>
      <c r="C23" s="17">
        <v>26420</v>
      </c>
      <c r="D23" s="17" t="s">
        <v>12</v>
      </c>
      <c r="E23" s="115"/>
      <c r="F23" s="69">
        <f>F27</f>
        <v>19421256.199999999</v>
      </c>
      <c r="G23" s="69">
        <f>G27</f>
        <v>18760392.670000002</v>
      </c>
      <c r="H23" s="69">
        <f>H27</f>
        <v>13986139.850000001</v>
      </c>
      <c r="I23" s="69">
        <v>0</v>
      </c>
      <c r="J23" s="105"/>
    </row>
    <row r="24" spans="1:12" ht="15.75" x14ac:dyDescent="0.25">
      <c r="A24" s="330" t="s">
        <v>93</v>
      </c>
      <c r="B24" s="20" t="s">
        <v>15</v>
      </c>
      <c r="C24" s="328">
        <v>26421</v>
      </c>
      <c r="D24" s="328" t="s">
        <v>12</v>
      </c>
      <c r="E24" s="117"/>
      <c r="F24" s="74"/>
      <c r="G24" s="74"/>
      <c r="H24" s="74"/>
      <c r="I24" s="74"/>
    </row>
    <row r="25" spans="1:12" ht="15" customHeight="1" x14ac:dyDescent="0.25">
      <c r="A25" s="330"/>
      <c r="B25" s="21" t="s">
        <v>85</v>
      </c>
      <c r="C25" s="328"/>
      <c r="D25" s="328"/>
      <c r="E25" s="115"/>
      <c r="F25" s="69">
        <v>0</v>
      </c>
      <c r="G25" s="69">
        <v>0</v>
      </c>
      <c r="H25" s="69">
        <v>0</v>
      </c>
      <c r="I25" s="69">
        <v>0</v>
      </c>
    </row>
    <row r="26" spans="1:12" ht="15" customHeight="1" x14ac:dyDescent="0.25">
      <c r="A26" s="114"/>
      <c r="B26" s="21" t="s">
        <v>508</v>
      </c>
      <c r="C26" s="115" t="s">
        <v>510</v>
      </c>
      <c r="D26" s="115" t="s">
        <v>12</v>
      </c>
      <c r="E26" s="115"/>
      <c r="F26" s="113"/>
      <c r="G26" s="113"/>
      <c r="H26" s="113"/>
      <c r="I26" s="113"/>
    </row>
    <row r="27" spans="1:12" ht="15.75" x14ac:dyDescent="0.25">
      <c r="A27" s="19" t="s">
        <v>94</v>
      </c>
      <c r="B27" s="20" t="s">
        <v>91</v>
      </c>
      <c r="C27" s="17">
        <v>26422</v>
      </c>
      <c r="D27" s="17" t="s">
        <v>12</v>
      </c>
      <c r="E27" s="115"/>
      <c r="F27" s="244">
        <f>'3.13.1'!H11+'3.13.1'!I11+'3.13.1'!M11+'3.13.1'!N11+'3.13.1'!O11+'3.13.1'!U11</f>
        <v>19421256.199999999</v>
      </c>
      <c r="G27" s="69">
        <f>'3.13.1'!H34+'3.13.1'!M34+'3.13.1'!N34+'3.13.1'!O34+'3.13.1'!U34</f>
        <v>18760392.670000002</v>
      </c>
      <c r="H27" s="69">
        <f>'3.13.1'!H57+'3.13.1'!M57+'3.13.1'!N57+'3.13.1'!O57+'3.13.1'!U57</f>
        <v>13986139.850000001</v>
      </c>
      <c r="I27" s="69">
        <v>0</v>
      </c>
    </row>
    <row r="28" spans="1:12" ht="30" x14ac:dyDescent="0.25">
      <c r="A28" s="324" t="s">
        <v>114</v>
      </c>
      <c r="B28" s="21" t="s">
        <v>95</v>
      </c>
      <c r="C28" s="17">
        <v>26430</v>
      </c>
      <c r="D28" s="17" t="s">
        <v>12</v>
      </c>
      <c r="E28" s="115"/>
      <c r="F28" s="69">
        <v>0</v>
      </c>
      <c r="G28" s="69">
        <v>0</v>
      </c>
      <c r="H28" s="69">
        <v>0</v>
      </c>
      <c r="I28" s="69">
        <v>0</v>
      </c>
    </row>
    <row r="29" spans="1:12" ht="15.75" x14ac:dyDescent="0.25">
      <c r="A29" s="325"/>
      <c r="B29" s="21" t="s">
        <v>673</v>
      </c>
      <c r="C29" s="115" t="s">
        <v>511</v>
      </c>
      <c r="D29" s="115" t="s">
        <v>12</v>
      </c>
      <c r="E29" s="115"/>
      <c r="F29" s="113"/>
      <c r="G29" s="113"/>
      <c r="H29" s="113"/>
      <c r="I29" s="113"/>
    </row>
    <row r="30" spans="1:12" ht="15.75" x14ac:dyDescent="0.25">
      <c r="A30" s="326"/>
      <c r="B30" s="21" t="s">
        <v>674</v>
      </c>
      <c r="C30" s="260" t="s">
        <v>676</v>
      </c>
      <c r="D30" s="260"/>
      <c r="E30" s="260"/>
      <c r="F30" s="259"/>
      <c r="G30" s="259"/>
      <c r="H30" s="259"/>
      <c r="I30" s="259"/>
    </row>
    <row r="31" spans="1:12" ht="15.75" x14ac:dyDescent="0.25">
      <c r="A31" s="19" t="s">
        <v>115</v>
      </c>
      <c r="B31" s="20" t="s">
        <v>96</v>
      </c>
      <c r="C31" s="17">
        <v>26440</v>
      </c>
      <c r="D31" s="17" t="s">
        <v>12</v>
      </c>
      <c r="E31" s="115"/>
      <c r="F31" s="69">
        <v>0</v>
      </c>
      <c r="G31" s="69">
        <v>0</v>
      </c>
      <c r="H31" s="69">
        <v>0</v>
      </c>
      <c r="I31" s="69">
        <v>0</v>
      </c>
    </row>
    <row r="32" spans="1:12" ht="15.75" x14ac:dyDescent="0.25">
      <c r="A32" s="330" t="s">
        <v>97</v>
      </c>
      <c r="B32" s="20" t="s">
        <v>15</v>
      </c>
      <c r="C32" s="328">
        <v>26441</v>
      </c>
      <c r="D32" s="328" t="s">
        <v>12</v>
      </c>
      <c r="E32" s="115"/>
      <c r="F32" s="327">
        <v>0</v>
      </c>
      <c r="G32" s="327">
        <v>0</v>
      </c>
      <c r="H32" s="327">
        <v>0</v>
      </c>
      <c r="I32" s="327">
        <v>0</v>
      </c>
    </row>
    <row r="33" spans="1:9" ht="15.75" x14ac:dyDescent="0.25">
      <c r="A33" s="330"/>
      <c r="B33" s="21" t="s">
        <v>85</v>
      </c>
      <c r="C33" s="328"/>
      <c r="D33" s="328"/>
      <c r="E33" s="115"/>
      <c r="F33" s="327"/>
      <c r="G33" s="327"/>
      <c r="H33" s="327"/>
      <c r="I33" s="327"/>
    </row>
    <row r="34" spans="1:9" ht="15.75" x14ac:dyDescent="0.25">
      <c r="A34" s="19" t="s">
        <v>98</v>
      </c>
      <c r="B34" s="21" t="s">
        <v>99</v>
      </c>
      <c r="C34" s="17">
        <v>26442</v>
      </c>
      <c r="D34" s="17" t="s">
        <v>12</v>
      </c>
      <c r="E34" s="115"/>
      <c r="F34" s="69">
        <v>0</v>
      </c>
      <c r="G34" s="69">
        <v>0</v>
      </c>
      <c r="H34" s="69">
        <v>0</v>
      </c>
      <c r="I34" s="69">
        <v>0</v>
      </c>
    </row>
    <row r="35" spans="1:9" ht="15.75" x14ac:dyDescent="0.25">
      <c r="A35" s="19" t="s">
        <v>116</v>
      </c>
      <c r="B35" s="20" t="s">
        <v>100</v>
      </c>
      <c r="C35" s="17">
        <v>26450</v>
      </c>
      <c r="D35" s="17" t="s">
        <v>12</v>
      </c>
      <c r="E35" s="115"/>
      <c r="F35" s="69">
        <f>F40</f>
        <v>549246.85</v>
      </c>
      <c r="G35" s="69">
        <f>G40</f>
        <v>0</v>
      </c>
      <c r="H35" s="69">
        <f>H40</f>
        <v>0</v>
      </c>
      <c r="I35" s="69">
        <v>0</v>
      </c>
    </row>
    <row r="36" spans="1:9" ht="15.75" x14ac:dyDescent="0.25">
      <c r="A36" s="324" t="s">
        <v>101</v>
      </c>
      <c r="B36" s="20" t="s">
        <v>15</v>
      </c>
      <c r="C36" s="328">
        <v>26451</v>
      </c>
      <c r="D36" s="328" t="s">
        <v>12</v>
      </c>
      <c r="E36" s="115"/>
      <c r="F36" s="327">
        <v>0</v>
      </c>
      <c r="G36" s="327">
        <v>0</v>
      </c>
      <c r="H36" s="327">
        <v>0</v>
      </c>
      <c r="I36" s="327">
        <v>0</v>
      </c>
    </row>
    <row r="37" spans="1:9" ht="15.75" x14ac:dyDescent="0.25">
      <c r="A37" s="325"/>
      <c r="B37" s="21" t="s">
        <v>512</v>
      </c>
      <c r="C37" s="328"/>
      <c r="D37" s="328"/>
      <c r="E37" s="115"/>
      <c r="F37" s="327"/>
      <c r="G37" s="327"/>
      <c r="H37" s="327"/>
      <c r="I37" s="327"/>
    </row>
    <row r="38" spans="1:9" ht="15.75" x14ac:dyDescent="0.25">
      <c r="A38" s="325"/>
      <c r="B38" s="21" t="s">
        <v>673</v>
      </c>
      <c r="C38" s="115" t="s">
        <v>513</v>
      </c>
      <c r="D38" s="115" t="s">
        <v>12</v>
      </c>
      <c r="E38" s="115"/>
      <c r="F38" s="113"/>
      <c r="G38" s="113"/>
      <c r="H38" s="113"/>
      <c r="I38" s="113"/>
    </row>
    <row r="39" spans="1:9" ht="15.75" x14ac:dyDescent="0.25">
      <c r="A39" s="326"/>
      <c r="B39" s="21" t="s">
        <v>674</v>
      </c>
      <c r="C39" s="260" t="s">
        <v>677</v>
      </c>
      <c r="D39" s="260"/>
      <c r="E39" s="260"/>
      <c r="F39" s="259"/>
      <c r="G39" s="259"/>
      <c r="H39" s="259"/>
      <c r="I39" s="259"/>
    </row>
    <row r="40" spans="1:9" ht="15.75" x14ac:dyDescent="0.25">
      <c r="A40" s="19" t="s">
        <v>102</v>
      </c>
      <c r="B40" s="21" t="s">
        <v>99</v>
      </c>
      <c r="C40" s="17">
        <v>26452</v>
      </c>
      <c r="D40" s="17" t="s">
        <v>12</v>
      </c>
      <c r="E40" s="115"/>
      <c r="F40" s="69">
        <f>'3.13.1'!P11+'3.13.1'!Q11</f>
        <v>549246.85</v>
      </c>
      <c r="G40" s="69">
        <f>'3.13.1'!P34+'3.13.1'!Q34</f>
        <v>0</v>
      </c>
      <c r="H40" s="69">
        <f>'3.13.1'!P57+'3.13.1'!Q57</f>
        <v>0</v>
      </c>
      <c r="I40" s="69">
        <v>0</v>
      </c>
    </row>
    <row r="41" spans="1:9" ht="63" x14ac:dyDescent="0.25">
      <c r="A41" s="19">
        <v>2</v>
      </c>
      <c r="B41" s="20" t="s">
        <v>103</v>
      </c>
      <c r="C41" s="17">
        <v>26500</v>
      </c>
      <c r="D41" s="17" t="s">
        <v>12</v>
      </c>
      <c r="E41" s="115"/>
      <c r="F41" s="69">
        <v>0</v>
      </c>
      <c r="G41" s="69">
        <v>0</v>
      </c>
      <c r="H41" s="69">
        <v>0</v>
      </c>
      <c r="I41" s="69">
        <v>0</v>
      </c>
    </row>
    <row r="42" spans="1:9" ht="15.75" x14ac:dyDescent="0.25">
      <c r="A42" s="19"/>
      <c r="B42" s="20" t="s">
        <v>104</v>
      </c>
      <c r="C42" s="17">
        <v>26510</v>
      </c>
      <c r="D42" s="20"/>
      <c r="E42" s="20"/>
      <c r="F42" s="69">
        <v>0</v>
      </c>
      <c r="G42" s="69">
        <v>0</v>
      </c>
      <c r="H42" s="69">
        <v>0</v>
      </c>
      <c r="I42" s="69">
        <v>0</v>
      </c>
    </row>
    <row r="43" spans="1:9" ht="60" x14ac:dyDescent="0.25">
      <c r="A43" s="19">
        <v>3</v>
      </c>
      <c r="B43" s="21" t="s">
        <v>105</v>
      </c>
      <c r="C43" s="17">
        <v>26600</v>
      </c>
      <c r="D43" s="17" t="s">
        <v>12</v>
      </c>
      <c r="E43" s="115"/>
      <c r="F43" s="69">
        <f>F17</f>
        <v>25838018.010000002</v>
      </c>
      <c r="G43" s="69">
        <f>G44</f>
        <v>24627907.630000003</v>
      </c>
      <c r="H43" s="69">
        <f>H44</f>
        <v>19853654.810000002</v>
      </c>
      <c r="I43" s="69">
        <v>0</v>
      </c>
    </row>
    <row r="44" spans="1:9" ht="15.75" x14ac:dyDescent="0.25">
      <c r="A44" s="19"/>
      <c r="B44" s="20" t="s">
        <v>104</v>
      </c>
      <c r="C44" s="17">
        <v>26610</v>
      </c>
      <c r="D44" s="20"/>
      <c r="E44" s="20"/>
      <c r="F44" s="69">
        <f>F43</f>
        <v>25838018.010000002</v>
      </c>
      <c r="G44" s="69">
        <f>G17</f>
        <v>24627907.630000003</v>
      </c>
      <c r="H44" s="69">
        <f>H17</f>
        <v>19853654.810000002</v>
      </c>
      <c r="I44" s="69">
        <v>0</v>
      </c>
    </row>
    <row r="47" spans="1:9" ht="16.5" x14ac:dyDescent="0.25">
      <c r="A47" s="32" t="s">
        <v>711</v>
      </c>
      <c r="B47"/>
      <c r="C47"/>
      <c r="D47" t="s">
        <v>712</v>
      </c>
      <c r="E47"/>
      <c r="F47"/>
      <c r="G47"/>
    </row>
    <row r="48" spans="1:9" x14ac:dyDescent="0.25">
      <c r="A48" s="33" t="s">
        <v>355</v>
      </c>
      <c r="B48"/>
      <c r="C48"/>
      <c r="D48"/>
      <c r="E48"/>
      <c r="F48"/>
      <c r="G48" s="33"/>
    </row>
    <row r="49" spans="1:7" ht="16.5" x14ac:dyDescent="0.25">
      <c r="A49" s="32"/>
      <c r="B49"/>
      <c r="C49"/>
      <c r="D49"/>
      <c r="E49"/>
      <c r="F49"/>
      <c r="G49"/>
    </row>
    <row r="50" spans="1:7" ht="16.5" x14ac:dyDescent="0.25">
      <c r="A50" s="32" t="s">
        <v>356</v>
      </c>
      <c r="B50"/>
      <c r="C50"/>
      <c r="D50" t="s">
        <v>407</v>
      </c>
      <c r="E50"/>
      <c r="F50"/>
      <c r="G50"/>
    </row>
    <row r="51" spans="1:7" x14ac:dyDescent="0.25">
      <c r="A51" s="33" t="s">
        <v>357</v>
      </c>
      <c r="B51"/>
      <c r="C51"/>
      <c r="D51"/>
      <c r="E51"/>
      <c r="F51"/>
      <c r="G51" s="33"/>
    </row>
    <row r="52" spans="1:7" ht="16.5" x14ac:dyDescent="0.25">
      <c r="A52" s="32"/>
      <c r="B52"/>
      <c r="C52"/>
      <c r="D52"/>
      <c r="E52"/>
      <c r="F52"/>
      <c r="G52"/>
    </row>
    <row r="53" spans="1:7" ht="16.5" x14ac:dyDescent="0.25">
      <c r="A53" s="32" t="s">
        <v>358</v>
      </c>
      <c r="B53"/>
      <c r="C53" t="s">
        <v>407</v>
      </c>
      <c r="D53"/>
      <c r="E53"/>
      <c r="F53"/>
      <c r="G53"/>
    </row>
    <row r="54" spans="1:7" x14ac:dyDescent="0.25">
      <c r="A54" s="33"/>
      <c r="B54"/>
      <c r="C54"/>
      <c r="D54"/>
      <c r="E54"/>
      <c r="F54"/>
      <c r="G54"/>
    </row>
    <row r="55" spans="1:7" ht="16.5" x14ac:dyDescent="0.25">
      <c r="A55" s="32"/>
      <c r="B55"/>
      <c r="C55"/>
      <c r="D55"/>
      <c r="E55"/>
      <c r="F55"/>
      <c r="G55"/>
    </row>
    <row r="56" spans="1:7" ht="16.5" x14ac:dyDescent="0.25">
      <c r="A56" s="32" t="s">
        <v>359</v>
      </c>
      <c r="B56" s="41" t="s">
        <v>566</v>
      </c>
      <c r="C56"/>
      <c r="D56"/>
      <c r="E56"/>
      <c r="F56"/>
      <c r="G56"/>
    </row>
    <row r="57" spans="1:7" ht="16.5" x14ac:dyDescent="0.25">
      <c r="A57" s="222" t="s">
        <v>718</v>
      </c>
      <c r="B57" s="223"/>
      <c r="C57"/>
      <c r="D57"/>
      <c r="E57"/>
      <c r="F57"/>
      <c r="G57"/>
    </row>
    <row r="58" spans="1:7" ht="16.5" x14ac:dyDescent="0.25">
      <c r="A58" s="32"/>
      <c r="B58"/>
      <c r="C58"/>
      <c r="D58"/>
      <c r="E58"/>
      <c r="F58"/>
      <c r="G58"/>
    </row>
    <row r="59" spans="1:7" ht="16.5" x14ac:dyDescent="0.25">
      <c r="A59" s="32" t="s">
        <v>360</v>
      </c>
      <c r="B59"/>
      <c r="C59"/>
      <c r="D59"/>
      <c r="E59"/>
      <c r="F59"/>
      <c r="G59"/>
    </row>
    <row r="60" spans="1:7" ht="16.5" x14ac:dyDescent="0.25">
      <c r="A60" s="32" t="s">
        <v>361</v>
      </c>
      <c r="B60"/>
      <c r="C60"/>
      <c r="D60"/>
      <c r="E60"/>
      <c r="F60"/>
      <c r="G60"/>
    </row>
    <row r="61" spans="1:7" x14ac:dyDescent="0.25">
      <c r="A61" s="272" t="s">
        <v>678</v>
      </c>
      <c r="B61"/>
      <c r="C61"/>
      <c r="D61"/>
      <c r="E61"/>
      <c r="F61"/>
      <c r="G61"/>
    </row>
    <row r="62" spans="1:7" ht="16.5" x14ac:dyDescent="0.25">
      <c r="A62" s="32" t="s">
        <v>361</v>
      </c>
      <c r="B62"/>
      <c r="C62"/>
      <c r="D62"/>
      <c r="E62"/>
      <c r="F62"/>
      <c r="G62"/>
    </row>
    <row r="63" spans="1:7" x14ac:dyDescent="0.25">
      <c r="A63" s="33" t="s">
        <v>362</v>
      </c>
      <c r="B63"/>
      <c r="C63"/>
      <c r="D63"/>
      <c r="E63"/>
      <c r="F63"/>
      <c r="G63"/>
    </row>
    <row r="64" spans="1:7" ht="16.5" x14ac:dyDescent="0.25">
      <c r="A64" s="32" t="s">
        <v>691</v>
      </c>
      <c r="B64"/>
      <c r="C64"/>
      <c r="D64"/>
      <c r="E64"/>
      <c r="F64"/>
      <c r="G64"/>
    </row>
  </sheetData>
  <mergeCells count="61">
    <mergeCell ref="I11:I12"/>
    <mergeCell ref="H7:H8"/>
    <mergeCell ref="G15:G16"/>
    <mergeCell ref="F2:I2"/>
    <mergeCell ref="I3:I4"/>
    <mergeCell ref="I7:I8"/>
    <mergeCell ref="G11:G12"/>
    <mergeCell ref="G7:G8"/>
    <mergeCell ref="A1:C1"/>
    <mergeCell ref="C7:C8"/>
    <mergeCell ref="D7:D8"/>
    <mergeCell ref="F7:F8"/>
    <mergeCell ref="A7:A8"/>
    <mergeCell ref="A2:A4"/>
    <mergeCell ref="B2:B4"/>
    <mergeCell ref="C2:C4"/>
    <mergeCell ref="D2:D4"/>
    <mergeCell ref="E2:E4"/>
    <mergeCell ref="C11:C12"/>
    <mergeCell ref="D11:D12"/>
    <mergeCell ref="F11:F12"/>
    <mergeCell ref="I20:I21"/>
    <mergeCell ref="A20:A21"/>
    <mergeCell ref="C20:C21"/>
    <mergeCell ref="D20:D21"/>
    <mergeCell ref="F20:F21"/>
    <mergeCell ref="G20:G21"/>
    <mergeCell ref="G18:G19"/>
    <mergeCell ref="H18:H19"/>
    <mergeCell ref="I18:I19"/>
    <mergeCell ref="F18:F19"/>
    <mergeCell ref="I15:I16"/>
    <mergeCell ref="H15:H16"/>
    <mergeCell ref="H11:H12"/>
    <mergeCell ref="D24:D25"/>
    <mergeCell ref="A18:A19"/>
    <mergeCell ref="A32:A33"/>
    <mergeCell ref="C18:C19"/>
    <mergeCell ref="D18:D19"/>
    <mergeCell ref="I32:I33"/>
    <mergeCell ref="H32:H33"/>
    <mergeCell ref="I36:I37"/>
    <mergeCell ref="F36:F37"/>
    <mergeCell ref="G36:G37"/>
    <mergeCell ref="F32:F33"/>
    <mergeCell ref="A11:A14"/>
    <mergeCell ref="A28:A30"/>
    <mergeCell ref="A36:A39"/>
    <mergeCell ref="H20:H21"/>
    <mergeCell ref="G32:G33"/>
    <mergeCell ref="H36:H37"/>
    <mergeCell ref="C36:C37"/>
    <mergeCell ref="D36:D37"/>
    <mergeCell ref="A15:A16"/>
    <mergeCell ref="C32:C33"/>
    <mergeCell ref="D32:D33"/>
    <mergeCell ref="A24:A25"/>
    <mergeCell ref="C24:C25"/>
    <mergeCell ref="C15:C16"/>
    <mergeCell ref="D15:D16"/>
    <mergeCell ref="F15:F16"/>
  </mergeCells>
  <phoneticPr fontId="12" type="noConversion"/>
  <hyperlinks>
    <hyperlink ref="B6" location="Par1331" tooltip="&lt;10&gt; Плановые показатели выплат на закупку товаров, работ, услуг по строке 26000 раздела 2 &quot;Сведения по выплатам на закупку товаров, работ, услуг&quot; Плана распределяются на выплаты по контрактам (договорам), заключенным (планируемым к заключению) в соответс" display="Par1331"/>
    <hyperlink ref="B12" r:id="rId1" tooltip="Федеральный закон от 05.04.2013 N 44-ФЗ (ред. от 27.06.2019) &quot;О контрактной системе в сфере закупок товаров, работ, услуг для обеспечения государственных и муниципальных нужд&quot; (с изм. и доп., вступ. в силу с 31.07.2019){КонсультантПлюс}" display="consultantplus://offline/ref=A700257297D7A859C030468B937B2DBD85E5EB9C656B2AC230D6E9DC28482863625EFFB5D1534D768A4F99306AV1B3I"/>
    <hyperlink ref="B21" r:id="rId2" tooltip="Федеральный закон от 05.04.2013 N 44-ФЗ (ред. от 27.06.2019) &quot;О контрактной системе в сфере закупок товаров, работ, услуг для обеспечения государственных и муниципальных нужд&quot; (с изм. и доп., вступ. в силу с 31.07.2019){КонсультантПлюс}" display="consultantplus://offline/ref=A700257297D7A859C030468B937B2DBD85E5EB9C656B2AC230D6E9DC28482863625EFFB5D1534D768A4F99306AV1B3I"/>
    <hyperlink ref="B23" r:id="rId3" tooltip="&quot;Бюджетный кодекс Российской Федерации&quot; от 31.07.1998 N 145-ФЗ (ред. от 02.08.2019) (с изм. и доп., вступ. в силу с 01.09.2019){КонсультантПлюс}" display="consultantplus://offline/ref=A700257297D7A859C030468B937B2DBD85E4EF9A61612AC230D6E9DC28482863705EA7BBD15F557DD700DF65661BC70C92EDF194103DVEB9I"/>
    <hyperlink ref="B25" r:id="rId4" tooltip="Федеральный закон от 05.04.2013 N 44-ФЗ (ред. от 27.06.2019) &quot;О контрактной системе в сфере закупок товаров, работ, услуг для обеспечения государственных и муниципальных нужд&quot; (с изм. и доп., вступ. в силу с 31.07.2019){КонсультантПлюс}" display="consultantplus://offline/ref=A700257297D7A859C030468B937B2DBD85E5EB9C656B2AC230D6E9DC28482863625EFFB5D1534D768A4F99306AV1B3I"/>
    <hyperlink ref="B28" location="Par1335" tooltip="&lt;14&gt; Указывается сумма закупок товаров, работ, услуг, осуществляемых в соответствии с Федеральным законом N 44-ФЗ." display="Par1335"/>
    <hyperlink ref="B33" r:id="rId5" tooltip="Федеральный закон от 05.04.2013 N 44-ФЗ (ред. от 27.06.2019) &quot;О контрактной системе в сфере закупок товаров, работ, услуг для обеспечения государственных и муниципальных нужд&quot; (с изм. и доп., вступ. в силу с 31.07.2019){КонсультантПлюс}" display="consultantplus://offline/ref=A700257297D7A859C030468B937B2DBD85E5EB9C656B2AC230D6E9DC28482863625EFFB5D1534D768A4F99306AV1B3I"/>
    <hyperlink ref="B34" r:id="rId6" tooltip="Федеральный закон от 18.07.2011 N 223-ФЗ (ред. от 01.05.2019) &quot;О закупках товаров, работ, услуг отдельными видами юридических лиц&quot;{КонсультантПлюс}" display="consultantplus://offline/ref=A700257297D7A859C030468B937B2DBD85E5EB9E60602AC230D6E9DC28482863625EFFB5D1534D768A4F99306AV1B3I"/>
    <hyperlink ref="B37" r:id="rId7" tooltip="Федеральный закон от 05.04.2013 N 44-ФЗ (ред. от 27.06.2019) &quot;О контрактной системе в сфере закупок товаров, работ, услуг для обеспечения государственных и муниципальных нужд&quot; (с изм. и доп., вступ. в силу с 31.07.2019){КонсультантПлюс}" display="consultantplus://offline/ref=A700257297D7A859C030468B937B2DBD85E5EB9C656B2AC230D6E9DC28482863625EFFB5D1534D768A4F99306AV1B3I"/>
    <hyperlink ref="B40" r:id="rId8" tooltip="Федеральный закон от 18.07.2011 N 223-ФЗ (ред. от 01.05.2019) &quot;О закупках товаров, работ, услуг отдельными видами юридических лиц&quot;{КонсультантПлюс}" display="consultantplus://offline/ref=A700257297D7A859C030468B937B2DBD85E5EB9E60602AC230D6E9DC28482863625EFFB5D1534D768A4F99306AV1B3I"/>
    <hyperlink ref="B43" r:id="rId9" tooltip="Федеральный закон от 18.07.2011 N 223-ФЗ (ред. от 01.05.2019) &quot;О закупках товаров, работ, услуг отдельными видами юридических лиц&quot;{КонсультантПлюс}" display="consultantplus://offline/ref=A700257297D7A859C030468B937B2DBD85E5EB9E60602AC230D6E9DC28482863625EFFB5D1534D768A4F99306AV1B3I"/>
  </hyperlinks>
  <pageMargins left="0.78740157480314965" right="0.39370078740157483" top="0.39370078740157483" bottom="0.39370078740157483" header="0.31496062992125984" footer="0.31496062992125984"/>
  <pageSetup paperSize="9" scale="53" orientation="portrait"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Normal="100" workbookViewId="0">
      <selection activeCell="F17" sqref="F17"/>
    </sheetView>
  </sheetViews>
  <sheetFormatPr defaultRowHeight="12.75" x14ac:dyDescent="0.2"/>
  <cols>
    <col min="1" max="1" width="21.42578125" style="3" customWidth="1"/>
    <col min="2" max="2" width="9.140625" style="3"/>
    <col min="3" max="8" width="14" style="3" customWidth="1"/>
    <col min="9" max="11" width="14" style="3" hidden="1" customWidth="1"/>
    <col min="12" max="14" width="14" style="3" customWidth="1"/>
    <col min="15" max="16384" width="9.140625" style="3"/>
  </cols>
  <sheetData>
    <row r="1" spans="1:14" x14ac:dyDescent="0.2">
      <c r="A1" s="3" t="s">
        <v>223</v>
      </c>
    </row>
    <row r="3" spans="1:14" hidden="1" x14ac:dyDescent="0.2">
      <c r="A3" s="3" t="s">
        <v>224</v>
      </c>
    </row>
    <row r="4" spans="1:14" ht="49.5" hidden="1" customHeight="1" x14ac:dyDescent="0.2">
      <c r="A4" s="335" t="s">
        <v>219</v>
      </c>
      <c r="B4" s="335" t="s">
        <v>1</v>
      </c>
      <c r="C4" s="335" t="s">
        <v>220</v>
      </c>
      <c r="D4" s="335"/>
      <c r="E4" s="335"/>
      <c r="F4" s="335" t="s">
        <v>221</v>
      </c>
      <c r="G4" s="335"/>
      <c r="H4" s="335"/>
      <c r="I4" s="335" t="s">
        <v>222</v>
      </c>
      <c r="J4" s="335"/>
      <c r="K4" s="335"/>
      <c r="L4" s="335" t="s">
        <v>117</v>
      </c>
      <c r="M4" s="335"/>
      <c r="N4" s="335"/>
    </row>
    <row r="5" spans="1:14" hidden="1" x14ac:dyDescent="0.2">
      <c r="A5" s="335"/>
      <c r="B5" s="335"/>
      <c r="C5" s="2" t="s">
        <v>363</v>
      </c>
      <c r="D5" s="2" t="s">
        <v>369</v>
      </c>
      <c r="E5" s="2" t="s">
        <v>365</v>
      </c>
      <c r="F5" s="2" t="s">
        <v>363</v>
      </c>
      <c r="G5" s="2" t="s">
        <v>364</v>
      </c>
      <c r="H5" s="2" t="s">
        <v>370</v>
      </c>
      <c r="I5" s="2" t="s">
        <v>363</v>
      </c>
      <c r="J5" s="2" t="s">
        <v>364</v>
      </c>
      <c r="K5" s="2" t="s">
        <v>365</v>
      </c>
      <c r="L5" s="2" t="s">
        <v>363</v>
      </c>
      <c r="M5" s="2" t="s">
        <v>364</v>
      </c>
      <c r="N5" s="2" t="s">
        <v>365</v>
      </c>
    </row>
    <row r="6" spans="1:14" ht="38.25" hidden="1" x14ac:dyDescent="0.2">
      <c r="A6" s="335"/>
      <c r="B6" s="335"/>
      <c r="C6" s="2" t="s">
        <v>79</v>
      </c>
      <c r="D6" s="2" t="s">
        <v>80</v>
      </c>
      <c r="E6" s="2" t="s">
        <v>81</v>
      </c>
      <c r="F6" s="2" t="s">
        <v>79</v>
      </c>
      <c r="G6" s="2" t="s">
        <v>80</v>
      </c>
      <c r="H6" s="2" t="s">
        <v>81</v>
      </c>
      <c r="I6" s="2" t="s">
        <v>79</v>
      </c>
      <c r="J6" s="2" t="s">
        <v>80</v>
      </c>
      <c r="K6" s="2" t="s">
        <v>81</v>
      </c>
      <c r="L6" s="2" t="s">
        <v>79</v>
      </c>
      <c r="M6" s="2" t="s">
        <v>80</v>
      </c>
      <c r="N6" s="2" t="s">
        <v>81</v>
      </c>
    </row>
    <row r="7" spans="1:14" hidden="1" x14ac:dyDescent="0.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</row>
    <row r="8" spans="1:14" hidden="1" x14ac:dyDescent="0.2">
      <c r="A8" s="6"/>
      <c r="B8" s="2"/>
      <c r="C8" s="6"/>
      <c r="D8" s="6"/>
      <c r="E8" s="6"/>
      <c r="F8" s="6"/>
      <c r="G8" s="6"/>
      <c r="H8" s="6"/>
      <c r="I8" s="6"/>
      <c r="J8" s="6"/>
      <c r="K8" s="6"/>
      <c r="L8" s="35"/>
      <c r="M8" s="6"/>
      <c r="N8" s="6"/>
    </row>
    <row r="9" spans="1:14" hidden="1" x14ac:dyDescent="0.2">
      <c r="A9" s="6" t="s">
        <v>137</v>
      </c>
      <c r="B9" s="2">
        <v>9000</v>
      </c>
      <c r="C9" s="2" t="s">
        <v>12</v>
      </c>
      <c r="D9" s="2" t="s">
        <v>12</v>
      </c>
      <c r="E9" s="2" t="s">
        <v>12</v>
      </c>
      <c r="F9" s="2" t="s">
        <v>12</v>
      </c>
      <c r="G9" s="2" t="s">
        <v>12</v>
      </c>
      <c r="H9" s="2" t="s">
        <v>12</v>
      </c>
      <c r="I9" s="2" t="s">
        <v>12</v>
      </c>
      <c r="J9" s="2" t="s">
        <v>12</v>
      </c>
      <c r="K9" s="2" t="s">
        <v>12</v>
      </c>
      <c r="L9" s="35"/>
      <c r="M9" s="6"/>
      <c r="N9" s="6"/>
    </row>
    <row r="10" spans="1:14" x14ac:dyDescent="0.2">
      <c r="A10" s="3" t="s">
        <v>563</v>
      </c>
    </row>
    <row r="11" spans="1:14" x14ac:dyDescent="0.2">
      <c r="A11" s="335" t="s">
        <v>219</v>
      </c>
      <c r="B11" s="335" t="s">
        <v>1</v>
      </c>
      <c r="C11" s="335" t="s">
        <v>220</v>
      </c>
      <c r="D11" s="335"/>
      <c r="E11" s="335"/>
      <c r="F11" s="335" t="s">
        <v>221</v>
      </c>
      <c r="G11" s="335"/>
      <c r="H11" s="335"/>
      <c r="I11" s="335" t="s">
        <v>222</v>
      </c>
      <c r="J11" s="335"/>
      <c r="K11" s="335"/>
      <c r="L11" s="335" t="s">
        <v>117</v>
      </c>
      <c r="M11" s="335"/>
      <c r="N11" s="335"/>
    </row>
    <row r="12" spans="1:14" x14ac:dyDescent="0.2">
      <c r="A12" s="335"/>
      <c r="B12" s="335"/>
      <c r="C12" s="290" t="s">
        <v>582</v>
      </c>
      <c r="D12" s="290" t="s">
        <v>614</v>
      </c>
      <c r="E12" s="290" t="s">
        <v>694</v>
      </c>
      <c r="F12" s="290" t="s">
        <v>582</v>
      </c>
      <c r="G12" s="290" t="s">
        <v>614</v>
      </c>
      <c r="H12" s="290" t="s">
        <v>694</v>
      </c>
      <c r="I12" s="195" t="s">
        <v>365</v>
      </c>
      <c r="J12" s="195" t="s">
        <v>535</v>
      </c>
      <c r="K12" s="195" t="s">
        <v>582</v>
      </c>
      <c r="L12" s="290" t="s">
        <v>582</v>
      </c>
      <c r="M12" s="290" t="s">
        <v>614</v>
      </c>
      <c r="N12" s="290" t="s">
        <v>694</v>
      </c>
    </row>
    <row r="13" spans="1:14" ht="38.25" x14ac:dyDescent="0.2">
      <c r="A13" s="335"/>
      <c r="B13" s="335"/>
      <c r="C13" s="170" t="s">
        <v>79</v>
      </c>
      <c r="D13" s="170" t="s">
        <v>80</v>
      </c>
      <c r="E13" s="170" t="s">
        <v>81</v>
      </c>
      <c r="F13" s="170" t="s">
        <v>79</v>
      </c>
      <c r="G13" s="170" t="s">
        <v>80</v>
      </c>
      <c r="H13" s="170" t="s">
        <v>81</v>
      </c>
      <c r="I13" s="170" t="s">
        <v>79</v>
      </c>
      <c r="J13" s="170" t="s">
        <v>80</v>
      </c>
      <c r="K13" s="170" t="s">
        <v>81</v>
      </c>
      <c r="L13" s="170" t="s">
        <v>79</v>
      </c>
      <c r="M13" s="170" t="s">
        <v>80</v>
      </c>
      <c r="N13" s="170" t="s">
        <v>81</v>
      </c>
    </row>
    <row r="14" spans="1:14" x14ac:dyDescent="0.2">
      <c r="A14" s="170">
        <v>1</v>
      </c>
      <c r="B14" s="170">
        <v>2</v>
      </c>
      <c r="C14" s="170">
        <v>3</v>
      </c>
      <c r="D14" s="170">
        <v>4</v>
      </c>
      <c r="E14" s="170">
        <v>5</v>
      </c>
      <c r="F14" s="170">
        <v>6</v>
      </c>
      <c r="G14" s="170">
        <v>7</v>
      </c>
      <c r="H14" s="170">
        <v>8</v>
      </c>
      <c r="I14" s="170">
        <v>9</v>
      </c>
      <c r="J14" s="170">
        <v>10</v>
      </c>
      <c r="K14" s="170">
        <v>11</v>
      </c>
      <c r="L14" s="170">
        <v>12</v>
      </c>
      <c r="M14" s="170">
        <v>13</v>
      </c>
      <c r="N14" s="170">
        <v>14</v>
      </c>
    </row>
    <row r="15" spans="1:14" ht="63.75" x14ac:dyDescent="0.2">
      <c r="A15" s="90" t="s">
        <v>564</v>
      </c>
      <c r="B15" s="266" t="s">
        <v>645</v>
      </c>
      <c r="C15" s="62" t="e">
        <f>L15/F15</f>
        <v>#DIV/0!</v>
      </c>
      <c r="D15" s="171">
        <v>0</v>
      </c>
      <c r="E15" s="171">
        <v>0</v>
      </c>
      <c r="F15" s="171"/>
      <c r="G15" s="171">
        <v>0</v>
      </c>
      <c r="H15" s="171">
        <v>0</v>
      </c>
      <c r="I15" s="171"/>
      <c r="J15" s="171">
        <v>0</v>
      </c>
      <c r="K15" s="171">
        <v>0</v>
      </c>
      <c r="L15" s="231"/>
      <c r="M15" s="180">
        <v>0</v>
      </c>
      <c r="N15" s="180">
        <v>0</v>
      </c>
    </row>
    <row r="16" spans="1:14" ht="51" x14ac:dyDescent="0.2">
      <c r="A16" s="90" t="s">
        <v>565</v>
      </c>
      <c r="B16" s="281" t="s">
        <v>646</v>
      </c>
      <c r="C16" s="62" t="e">
        <f>L16/F16</f>
        <v>#DIV/0!</v>
      </c>
      <c r="D16" s="171">
        <v>0</v>
      </c>
      <c r="E16" s="171">
        <v>0</v>
      </c>
      <c r="F16" s="171"/>
      <c r="G16" s="171">
        <v>0</v>
      </c>
      <c r="H16" s="171">
        <v>0</v>
      </c>
      <c r="I16" s="171"/>
      <c r="J16" s="171">
        <v>0</v>
      </c>
      <c r="K16" s="171">
        <v>0</v>
      </c>
      <c r="L16" s="231"/>
      <c r="M16" s="180">
        <v>0</v>
      </c>
      <c r="N16" s="180">
        <v>0</v>
      </c>
    </row>
    <row r="17" spans="1:14" x14ac:dyDescent="0.2">
      <c r="A17" s="171" t="s">
        <v>137</v>
      </c>
      <c r="B17" s="170">
        <v>9000</v>
      </c>
      <c r="C17" s="170" t="s">
        <v>12</v>
      </c>
      <c r="D17" s="170" t="s">
        <v>12</v>
      </c>
      <c r="E17" s="170" t="s">
        <v>12</v>
      </c>
      <c r="F17" s="170" t="s">
        <v>12</v>
      </c>
      <c r="G17" s="170" t="s">
        <v>12</v>
      </c>
      <c r="H17" s="170" t="s">
        <v>12</v>
      </c>
      <c r="I17" s="170" t="s">
        <v>12</v>
      </c>
      <c r="J17" s="170" t="s">
        <v>12</v>
      </c>
      <c r="K17" s="170" t="s">
        <v>12</v>
      </c>
      <c r="L17" s="35">
        <f>L15+L16</f>
        <v>0</v>
      </c>
      <c r="M17" s="180">
        <v>0</v>
      </c>
      <c r="N17" s="180">
        <v>0</v>
      </c>
    </row>
  </sheetData>
  <mergeCells count="12">
    <mergeCell ref="L4:N4"/>
    <mergeCell ref="A4:A6"/>
    <mergeCell ref="B4:B6"/>
    <mergeCell ref="C4:E4"/>
    <mergeCell ref="F4:H4"/>
    <mergeCell ref="I4:K4"/>
    <mergeCell ref="L11:N11"/>
    <mergeCell ref="A11:A13"/>
    <mergeCell ref="B11:B13"/>
    <mergeCell ref="C11:E11"/>
    <mergeCell ref="F11:H11"/>
    <mergeCell ref="I11:K11"/>
  </mergeCells>
  <phoneticPr fontId="12" type="noConversion"/>
  <pageMargins left="0.7" right="0.7" top="0.75" bottom="0.75" header="0.3" footer="0.3"/>
  <pageSetup paperSize="9" scale="8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zoomScaleNormal="100" workbookViewId="0">
      <selection activeCell="B7" sqref="B7"/>
    </sheetView>
  </sheetViews>
  <sheetFormatPr defaultRowHeight="12.75" x14ac:dyDescent="0.2"/>
  <cols>
    <col min="1" max="1" width="30.28515625" style="3" customWidth="1"/>
    <col min="2" max="2" width="9.140625" style="3"/>
    <col min="3" max="14" width="13.7109375" style="3" customWidth="1"/>
    <col min="15" max="16384" width="9.140625" style="3"/>
  </cols>
  <sheetData>
    <row r="1" spans="1:14" x14ac:dyDescent="0.2">
      <c r="A1" s="3" t="s">
        <v>228</v>
      </c>
    </row>
    <row r="2" spans="1:14" ht="49.5" customHeight="1" x14ac:dyDescent="0.2">
      <c r="A2" s="335" t="s">
        <v>219</v>
      </c>
      <c r="B2" s="335" t="s">
        <v>1</v>
      </c>
      <c r="C2" s="335" t="s">
        <v>225</v>
      </c>
      <c r="D2" s="335"/>
      <c r="E2" s="335"/>
      <c r="F2" s="335" t="s">
        <v>226</v>
      </c>
      <c r="G2" s="335"/>
      <c r="H2" s="335"/>
      <c r="I2" s="335" t="s">
        <v>227</v>
      </c>
      <c r="J2" s="335"/>
      <c r="K2" s="335"/>
      <c r="L2" s="335" t="s">
        <v>117</v>
      </c>
      <c r="M2" s="335"/>
      <c r="N2" s="335"/>
    </row>
    <row r="3" spans="1:14" x14ac:dyDescent="0.2">
      <c r="A3" s="335"/>
      <c r="B3" s="335"/>
      <c r="C3" s="18" t="s">
        <v>364</v>
      </c>
      <c r="D3" s="18" t="s">
        <v>365</v>
      </c>
      <c r="E3" s="18" t="s">
        <v>519</v>
      </c>
      <c r="F3" s="18" t="s">
        <v>364</v>
      </c>
      <c r="G3" s="18" t="s">
        <v>365</v>
      </c>
      <c r="H3" s="18" t="s">
        <v>519</v>
      </c>
      <c r="I3" s="18" t="s">
        <v>364</v>
      </c>
      <c r="J3" s="18" t="s">
        <v>365</v>
      </c>
      <c r="K3" s="18" t="s">
        <v>519</v>
      </c>
      <c r="L3" s="18" t="s">
        <v>364</v>
      </c>
      <c r="M3" s="18" t="s">
        <v>365</v>
      </c>
      <c r="N3" s="18" t="s">
        <v>519</v>
      </c>
    </row>
    <row r="4" spans="1:14" ht="38.25" x14ac:dyDescent="0.2">
      <c r="A4" s="335"/>
      <c r="B4" s="335"/>
      <c r="C4" s="2" t="s">
        <v>79</v>
      </c>
      <c r="D4" s="2" t="s">
        <v>80</v>
      </c>
      <c r="E4" s="2" t="s">
        <v>81</v>
      </c>
      <c r="F4" s="2" t="s">
        <v>79</v>
      </c>
      <c r="G4" s="2" t="s">
        <v>80</v>
      </c>
      <c r="H4" s="2" t="s">
        <v>81</v>
      </c>
      <c r="I4" s="2" t="s">
        <v>79</v>
      </c>
      <c r="J4" s="2" t="s">
        <v>80</v>
      </c>
      <c r="K4" s="2" t="s">
        <v>81</v>
      </c>
      <c r="L4" s="2" t="s">
        <v>79</v>
      </c>
      <c r="M4" s="2" t="s">
        <v>80</v>
      </c>
      <c r="N4" s="2" t="s">
        <v>81</v>
      </c>
    </row>
    <row r="5" spans="1:14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</row>
    <row r="6" spans="1:14" ht="25.5" x14ac:dyDescent="0.2">
      <c r="A6" s="6" t="s">
        <v>451</v>
      </c>
      <c r="B6" s="266" t="s">
        <v>645</v>
      </c>
      <c r="C6" s="6">
        <v>1</v>
      </c>
      <c r="D6" s="6">
        <v>0</v>
      </c>
      <c r="E6" s="6">
        <v>0</v>
      </c>
      <c r="F6" s="6">
        <v>12</v>
      </c>
      <c r="G6" s="6">
        <v>0</v>
      </c>
      <c r="H6" s="6">
        <v>0</v>
      </c>
      <c r="I6" s="6">
        <v>65</v>
      </c>
      <c r="J6" s="6">
        <v>0</v>
      </c>
      <c r="K6" s="6">
        <v>0</v>
      </c>
      <c r="L6" s="35"/>
      <c r="M6" s="35">
        <f>D6*G6*J6</f>
        <v>0</v>
      </c>
      <c r="N6" s="35">
        <f>E6*H6*K6</f>
        <v>0</v>
      </c>
    </row>
    <row r="7" spans="1:14" x14ac:dyDescent="0.2">
      <c r="A7" s="6" t="s">
        <v>137</v>
      </c>
      <c r="B7" s="2">
        <v>9000</v>
      </c>
      <c r="C7" s="2" t="s">
        <v>12</v>
      </c>
      <c r="D7" s="2" t="s">
        <v>12</v>
      </c>
      <c r="E7" s="2" t="s">
        <v>12</v>
      </c>
      <c r="F7" s="2" t="s">
        <v>12</v>
      </c>
      <c r="G7" s="2" t="s">
        <v>12</v>
      </c>
      <c r="H7" s="2" t="s">
        <v>12</v>
      </c>
      <c r="I7" s="2" t="s">
        <v>12</v>
      </c>
      <c r="J7" s="2" t="s">
        <v>12</v>
      </c>
      <c r="K7" s="2" t="s">
        <v>12</v>
      </c>
      <c r="L7" s="75">
        <f>L6</f>
        <v>0</v>
      </c>
      <c r="M7" s="75">
        <f>M6</f>
        <v>0</v>
      </c>
      <c r="N7" s="75">
        <f>N6</f>
        <v>0</v>
      </c>
    </row>
  </sheetData>
  <mergeCells count="6">
    <mergeCell ref="L2:N2"/>
    <mergeCell ref="A2:A4"/>
    <mergeCell ref="B2:B4"/>
    <mergeCell ref="C2:E2"/>
    <mergeCell ref="F2:H2"/>
    <mergeCell ref="I2:K2"/>
  </mergeCells>
  <phoneticPr fontId="12" type="noConversion"/>
  <pageMargins left="0.7" right="0.7" top="0.75" bottom="0.75" header="0.3" footer="0.3"/>
  <pageSetup paperSize="9" scale="6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Normal="100" workbookViewId="0">
      <selection activeCell="E7" sqref="E7"/>
    </sheetView>
  </sheetViews>
  <sheetFormatPr defaultRowHeight="12.75" x14ac:dyDescent="0.2"/>
  <cols>
    <col min="1" max="1" width="21.28515625" style="3" customWidth="1"/>
    <col min="2" max="2" width="9.140625" style="3"/>
    <col min="3" max="11" width="13.85546875" style="3" customWidth="1"/>
    <col min="12" max="16384" width="9.140625" style="3"/>
  </cols>
  <sheetData>
    <row r="1" spans="1:11" x14ac:dyDescent="0.2">
      <c r="A1" s="3" t="s">
        <v>232</v>
      </c>
    </row>
    <row r="2" spans="1:11" ht="33" customHeight="1" x14ac:dyDescent="0.2">
      <c r="A2" s="335" t="s">
        <v>0</v>
      </c>
      <c r="B2" s="335" t="s">
        <v>1</v>
      </c>
      <c r="C2" s="335" t="s">
        <v>229</v>
      </c>
      <c r="D2" s="335"/>
      <c r="E2" s="335"/>
      <c r="F2" s="335" t="s">
        <v>230</v>
      </c>
      <c r="G2" s="335"/>
      <c r="H2" s="335"/>
      <c r="I2" s="335" t="s">
        <v>231</v>
      </c>
      <c r="J2" s="335"/>
      <c r="K2" s="335"/>
    </row>
    <row r="3" spans="1:11" x14ac:dyDescent="0.2">
      <c r="A3" s="335"/>
      <c r="B3" s="335"/>
      <c r="C3" s="248" t="s">
        <v>582</v>
      </c>
      <c r="D3" s="248" t="s">
        <v>614</v>
      </c>
      <c r="E3" s="248" t="s">
        <v>694</v>
      </c>
      <c r="F3" s="290" t="s">
        <v>582</v>
      </c>
      <c r="G3" s="290" t="s">
        <v>614</v>
      </c>
      <c r="H3" s="290" t="s">
        <v>694</v>
      </c>
      <c r="I3" s="290" t="s">
        <v>582</v>
      </c>
      <c r="J3" s="290" t="s">
        <v>614</v>
      </c>
      <c r="K3" s="290" t="s">
        <v>694</v>
      </c>
    </row>
    <row r="4" spans="1:11" ht="38.25" x14ac:dyDescent="0.2">
      <c r="A4" s="335"/>
      <c r="B4" s="335"/>
      <c r="C4" s="2" t="s">
        <v>79</v>
      </c>
      <c r="D4" s="2" t="s">
        <v>80</v>
      </c>
      <c r="E4" s="2" t="s">
        <v>81</v>
      </c>
      <c r="F4" s="2" t="s">
        <v>79</v>
      </c>
      <c r="G4" s="2" t="s">
        <v>80</v>
      </c>
      <c r="H4" s="2" t="s">
        <v>81</v>
      </c>
      <c r="I4" s="2" t="s">
        <v>79</v>
      </c>
      <c r="J4" s="2" t="s">
        <v>80</v>
      </c>
      <c r="K4" s="2" t="s">
        <v>81</v>
      </c>
    </row>
    <row r="5" spans="1:11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ht="38.25" x14ac:dyDescent="0.2">
      <c r="A6" s="6" t="s">
        <v>450</v>
      </c>
      <c r="B6" s="266" t="s">
        <v>645</v>
      </c>
      <c r="C6" s="38">
        <f>I6/F6</f>
        <v>7937.5</v>
      </c>
      <c r="D6" s="38">
        <f>J6/G6</f>
        <v>7937.5</v>
      </c>
      <c r="E6" s="38">
        <f>K6/H6</f>
        <v>7937.5</v>
      </c>
      <c r="F6" s="6">
        <v>12</v>
      </c>
      <c r="G6" s="6">
        <v>12</v>
      </c>
      <c r="H6" s="6">
        <v>12</v>
      </c>
      <c r="I6" s="5">
        <v>95250</v>
      </c>
      <c r="J6" s="5">
        <v>95250</v>
      </c>
      <c r="K6" s="5">
        <v>95250</v>
      </c>
    </row>
    <row r="7" spans="1:11" x14ac:dyDescent="0.2">
      <c r="A7" s="6" t="s">
        <v>137</v>
      </c>
      <c r="B7" s="2">
        <v>9000</v>
      </c>
      <c r="C7" s="2" t="s">
        <v>12</v>
      </c>
      <c r="D7" s="2" t="s">
        <v>12</v>
      </c>
      <c r="E7" s="2" t="s">
        <v>12</v>
      </c>
      <c r="F7" s="2" t="s">
        <v>12</v>
      </c>
      <c r="G7" s="2" t="s">
        <v>12</v>
      </c>
      <c r="H7" s="2" t="s">
        <v>12</v>
      </c>
      <c r="I7" s="70">
        <f>I6</f>
        <v>95250</v>
      </c>
      <c r="J7" s="70">
        <f>J6</f>
        <v>95250</v>
      </c>
      <c r="K7" s="70">
        <f>K6</f>
        <v>95250</v>
      </c>
    </row>
  </sheetData>
  <mergeCells count="5">
    <mergeCell ref="I2:K2"/>
    <mergeCell ref="A2:A4"/>
    <mergeCell ref="B2:B4"/>
    <mergeCell ref="C2:E2"/>
    <mergeCell ref="F2:H2"/>
  </mergeCells>
  <phoneticPr fontId="12" type="noConversion"/>
  <pageMargins left="0.7" right="0.7" top="0.75" bottom="0.75" header="0.3" footer="0.3"/>
  <pageSetup paperSize="9" scale="8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B10" sqref="B10"/>
    </sheetView>
  </sheetViews>
  <sheetFormatPr defaultRowHeight="12.75" x14ac:dyDescent="0.2"/>
  <cols>
    <col min="1" max="1" width="20.85546875" style="3" customWidth="1"/>
    <col min="2" max="2" width="9.140625" style="3"/>
    <col min="3" max="11" width="14.140625" style="3" customWidth="1"/>
    <col min="12" max="16384" width="9.140625" style="3"/>
  </cols>
  <sheetData>
    <row r="1" spans="1:11" ht="24.75" customHeight="1" x14ac:dyDescent="0.2">
      <c r="A1" s="340" t="s">
        <v>661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3" spans="1:11" ht="12.75" customHeight="1" x14ac:dyDescent="0.2">
      <c r="A3" s="343" t="s">
        <v>219</v>
      </c>
      <c r="B3" s="343" t="s">
        <v>1</v>
      </c>
      <c r="C3" s="343" t="s">
        <v>233</v>
      </c>
      <c r="D3" s="343"/>
      <c r="E3" s="343"/>
      <c r="F3" s="343" t="s">
        <v>234</v>
      </c>
      <c r="G3" s="343"/>
      <c r="H3" s="343"/>
      <c r="I3" s="343" t="s">
        <v>235</v>
      </c>
      <c r="J3" s="343"/>
      <c r="K3" s="343"/>
    </row>
    <row r="4" spans="1:11" x14ac:dyDescent="0.2">
      <c r="A4" s="343"/>
      <c r="B4" s="343"/>
      <c r="C4" s="195" t="s">
        <v>365</v>
      </c>
      <c r="D4" s="195" t="s">
        <v>519</v>
      </c>
      <c r="E4" s="195" t="s">
        <v>582</v>
      </c>
      <c r="F4" s="195" t="s">
        <v>365</v>
      </c>
      <c r="G4" s="195" t="s">
        <v>519</v>
      </c>
      <c r="H4" s="195" t="s">
        <v>582</v>
      </c>
      <c r="I4" s="195" t="s">
        <v>365</v>
      </c>
      <c r="J4" s="195" t="s">
        <v>519</v>
      </c>
      <c r="K4" s="195" t="s">
        <v>582</v>
      </c>
    </row>
    <row r="5" spans="1:11" ht="38.25" x14ac:dyDescent="0.2">
      <c r="A5" s="343"/>
      <c r="B5" s="343"/>
      <c r="C5" s="154" t="s">
        <v>79</v>
      </c>
      <c r="D5" s="154" t="s">
        <v>80</v>
      </c>
      <c r="E5" s="154" t="s">
        <v>81</v>
      </c>
      <c r="F5" s="154" t="s">
        <v>79</v>
      </c>
      <c r="G5" s="154" t="s">
        <v>80</v>
      </c>
      <c r="H5" s="154" t="s">
        <v>81</v>
      </c>
      <c r="I5" s="154" t="s">
        <v>79</v>
      </c>
      <c r="J5" s="154" t="s">
        <v>80</v>
      </c>
      <c r="K5" s="154" t="s">
        <v>81</v>
      </c>
    </row>
    <row r="6" spans="1:11" x14ac:dyDescent="0.2">
      <c r="A6" s="154">
        <v>1</v>
      </c>
      <c r="B6" s="154">
        <v>2</v>
      </c>
      <c r="C6" s="154">
        <v>3</v>
      </c>
      <c r="D6" s="154">
        <v>4</v>
      </c>
      <c r="E6" s="154">
        <v>5</v>
      </c>
      <c r="F6" s="154">
        <v>6</v>
      </c>
      <c r="G6" s="154">
        <v>7</v>
      </c>
      <c r="H6" s="154">
        <v>8</v>
      </c>
      <c r="I6" s="154">
        <v>9</v>
      </c>
      <c r="J6" s="154">
        <v>10</v>
      </c>
      <c r="K6" s="154">
        <v>11</v>
      </c>
    </row>
    <row r="7" spans="1:11" ht="51" hidden="1" x14ac:dyDescent="0.2">
      <c r="A7" s="90" t="s">
        <v>568</v>
      </c>
      <c r="B7" s="154">
        <v>1</v>
      </c>
      <c r="C7" s="90">
        <v>5</v>
      </c>
      <c r="D7" s="90">
        <v>0</v>
      </c>
      <c r="E7" s="90">
        <v>0</v>
      </c>
      <c r="F7" s="90">
        <v>100</v>
      </c>
      <c r="G7" s="90">
        <v>0</v>
      </c>
      <c r="H7" s="90">
        <v>0</v>
      </c>
      <c r="I7" s="160"/>
      <c r="J7" s="160">
        <v>0</v>
      </c>
      <c r="K7" s="160">
        <v>0</v>
      </c>
    </row>
    <row r="8" spans="1:11" ht="25.5" x14ac:dyDescent="0.2">
      <c r="A8" s="90" t="s">
        <v>559</v>
      </c>
      <c r="B8" s="266" t="s">
        <v>645</v>
      </c>
      <c r="C8" s="90">
        <v>1</v>
      </c>
      <c r="D8" s="90">
        <v>0</v>
      </c>
      <c r="E8" s="90">
        <v>0</v>
      </c>
      <c r="F8" s="90">
        <v>100</v>
      </c>
      <c r="G8" s="90">
        <v>0</v>
      </c>
      <c r="H8" s="90">
        <v>0</v>
      </c>
      <c r="I8" s="217">
        <v>0</v>
      </c>
      <c r="J8" s="217">
        <v>0</v>
      </c>
      <c r="K8" s="217">
        <v>0</v>
      </c>
    </row>
    <row r="9" spans="1:11" ht="51" hidden="1" x14ac:dyDescent="0.2">
      <c r="A9" s="90" t="s">
        <v>579</v>
      </c>
      <c r="B9" s="190">
        <v>3</v>
      </c>
      <c r="C9" s="192">
        <v>6.1499999999999999E-2</v>
      </c>
      <c r="D9" s="90">
        <v>0</v>
      </c>
      <c r="E9" s="90">
        <v>0</v>
      </c>
      <c r="F9" s="90">
        <v>100</v>
      </c>
      <c r="G9" s="90">
        <v>0</v>
      </c>
      <c r="H9" s="90">
        <v>0</v>
      </c>
      <c r="I9" s="217"/>
      <c r="J9" s="160">
        <v>0</v>
      </c>
      <c r="K9" s="160">
        <v>0</v>
      </c>
    </row>
    <row r="10" spans="1:11" x14ac:dyDescent="0.2">
      <c r="A10" s="90" t="s">
        <v>137</v>
      </c>
      <c r="B10" s="154">
        <v>9000</v>
      </c>
      <c r="C10" s="154" t="s">
        <v>12</v>
      </c>
      <c r="D10" s="154" t="s">
        <v>12</v>
      </c>
      <c r="E10" s="154" t="s">
        <v>12</v>
      </c>
      <c r="F10" s="154" t="s">
        <v>12</v>
      </c>
      <c r="G10" s="154" t="s">
        <v>12</v>
      </c>
      <c r="H10" s="154" t="s">
        <v>12</v>
      </c>
      <c r="I10" s="217">
        <f>I7+I8+I9</f>
        <v>0</v>
      </c>
      <c r="J10" s="217">
        <v>0</v>
      </c>
      <c r="K10" s="217">
        <v>0</v>
      </c>
    </row>
  </sheetData>
  <mergeCells count="6">
    <mergeCell ref="A1:K1"/>
    <mergeCell ref="I3:K3"/>
    <mergeCell ref="A3:A5"/>
    <mergeCell ref="B3:B5"/>
    <mergeCell ref="C3:E3"/>
    <mergeCell ref="F3:H3"/>
  </mergeCells>
  <phoneticPr fontId="12" type="noConversion"/>
  <pageMargins left="0.7" right="0.7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B9" sqref="B9"/>
    </sheetView>
  </sheetViews>
  <sheetFormatPr defaultRowHeight="12.75" x14ac:dyDescent="0.2"/>
  <cols>
    <col min="1" max="1" width="19.85546875" style="3" customWidth="1"/>
    <col min="2" max="2" width="9.140625" style="3"/>
    <col min="3" max="11" width="15.7109375" style="3" customWidth="1"/>
    <col min="12" max="16384" width="9.140625" style="3"/>
  </cols>
  <sheetData>
    <row r="1" spans="1:11" x14ac:dyDescent="0.2">
      <c r="A1" s="3" t="s">
        <v>236</v>
      </c>
    </row>
    <row r="3" spans="1:11" ht="33" customHeight="1" x14ac:dyDescent="0.2">
      <c r="A3" s="335" t="s">
        <v>219</v>
      </c>
      <c r="B3" s="335" t="s">
        <v>1</v>
      </c>
      <c r="C3" s="335" t="s">
        <v>229</v>
      </c>
      <c r="D3" s="335"/>
      <c r="E3" s="335"/>
      <c r="F3" s="335" t="s">
        <v>230</v>
      </c>
      <c r="G3" s="335"/>
      <c r="H3" s="335"/>
      <c r="I3" s="335" t="s">
        <v>231</v>
      </c>
      <c r="J3" s="335"/>
      <c r="K3" s="335"/>
    </row>
    <row r="4" spans="1:11" x14ac:dyDescent="0.2">
      <c r="A4" s="335"/>
      <c r="B4" s="335"/>
      <c r="C4" s="2" t="s">
        <v>4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</row>
    <row r="5" spans="1:11" ht="38.25" x14ac:dyDescent="0.2">
      <c r="A5" s="335"/>
      <c r="B5" s="335"/>
      <c r="C5" s="2" t="s">
        <v>79</v>
      </c>
      <c r="D5" s="2" t="s">
        <v>80</v>
      </c>
      <c r="E5" s="2" t="s">
        <v>81</v>
      </c>
      <c r="F5" s="2" t="s">
        <v>79</v>
      </c>
      <c r="G5" s="2" t="s">
        <v>80</v>
      </c>
      <c r="H5" s="2" t="s">
        <v>81</v>
      </c>
      <c r="I5" s="2" t="s">
        <v>79</v>
      </c>
      <c r="J5" s="2" t="s">
        <v>80</v>
      </c>
      <c r="K5" s="2" t="s">
        <v>81</v>
      </c>
    </row>
    <row r="6" spans="1:11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x14ac:dyDescent="0.2">
      <c r="A7" s="6"/>
      <c r="B7" s="266" t="s">
        <v>645</v>
      </c>
      <c r="C7" s="6"/>
      <c r="D7" s="6"/>
      <c r="E7" s="6"/>
      <c r="F7" s="6"/>
      <c r="G7" s="6"/>
      <c r="H7" s="6"/>
      <c r="I7" s="6"/>
      <c r="J7" s="6"/>
      <c r="K7" s="6"/>
    </row>
    <row r="8" spans="1:11" x14ac:dyDescent="0.2">
      <c r="A8" s="6"/>
      <c r="B8" s="266" t="s">
        <v>646</v>
      </c>
      <c r="C8" s="6"/>
      <c r="D8" s="6"/>
      <c r="E8" s="6"/>
      <c r="F8" s="6"/>
      <c r="G8" s="6"/>
      <c r="H8" s="6"/>
      <c r="I8" s="6"/>
      <c r="J8" s="6"/>
      <c r="K8" s="6"/>
    </row>
    <row r="9" spans="1:1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2">
      <c r="A10" s="6" t="s">
        <v>137</v>
      </c>
      <c r="B10" s="2">
        <v>9000</v>
      </c>
      <c r="C10" s="2" t="s">
        <v>12</v>
      </c>
      <c r="D10" s="2" t="s">
        <v>12</v>
      </c>
      <c r="E10" s="2" t="s">
        <v>12</v>
      </c>
      <c r="F10" s="2" t="s">
        <v>12</v>
      </c>
      <c r="G10" s="2" t="s">
        <v>12</v>
      </c>
      <c r="H10" s="2" t="s">
        <v>12</v>
      </c>
      <c r="I10" s="6"/>
      <c r="J10" s="6"/>
      <c r="K10" s="6"/>
    </row>
  </sheetData>
  <mergeCells count="5">
    <mergeCell ref="I3:K3"/>
    <mergeCell ref="A3:A5"/>
    <mergeCell ref="B3:B5"/>
    <mergeCell ref="C3:E3"/>
    <mergeCell ref="F3:H3"/>
  </mergeCells>
  <phoneticPr fontId="12" type="noConversion"/>
  <pageMargins left="0.7" right="0.7" top="0.75" bottom="0.75" header="0.3" footer="0.3"/>
  <pageSetup paperSize="9" scale="76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B10" sqref="B10"/>
    </sheetView>
  </sheetViews>
  <sheetFormatPr defaultRowHeight="12.75" x14ac:dyDescent="0.2"/>
  <cols>
    <col min="1" max="1" width="20.85546875" style="3" customWidth="1"/>
    <col min="2" max="2" width="9.140625" style="3"/>
    <col min="3" max="11" width="17.140625" style="3" customWidth="1"/>
    <col min="12" max="16384" width="9.140625" style="3"/>
  </cols>
  <sheetData>
    <row r="1" spans="1:11" x14ac:dyDescent="0.2">
      <c r="A1" s="3" t="s">
        <v>237</v>
      </c>
    </row>
    <row r="3" spans="1:11" x14ac:dyDescent="0.2">
      <c r="A3" s="3" t="s">
        <v>284</v>
      </c>
    </row>
    <row r="4" spans="1:11" ht="33" customHeight="1" x14ac:dyDescent="0.2">
      <c r="A4" s="335" t="s">
        <v>219</v>
      </c>
      <c r="B4" s="335" t="s">
        <v>1</v>
      </c>
      <c r="C4" s="335" t="s">
        <v>229</v>
      </c>
      <c r="D4" s="335"/>
      <c r="E4" s="335"/>
      <c r="F4" s="335" t="s">
        <v>230</v>
      </c>
      <c r="G4" s="335"/>
      <c r="H4" s="335"/>
      <c r="I4" s="335" t="s">
        <v>231</v>
      </c>
      <c r="J4" s="335"/>
      <c r="K4" s="335"/>
    </row>
    <row r="5" spans="1:11" x14ac:dyDescent="0.2">
      <c r="A5" s="335"/>
      <c r="B5" s="335"/>
      <c r="C5" s="2" t="s">
        <v>4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</row>
    <row r="6" spans="1:11" ht="25.5" x14ac:dyDescent="0.2">
      <c r="A6" s="335"/>
      <c r="B6" s="335"/>
      <c r="C6" s="2" t="s">
        <v>79</v>
      </c>
      <c r="D6" s="2" t="s">
        <v>80</v>
      </c>
      <c r="E6" s="2" t="s">
        <v>81</v>
      </c>
      <c r="F6" s="2" t="s">
        <v>79</v>
      </c>
      <c r="G6" s="2" t="s">
        <v>80</v>
      </c>
      <c r="H6" s="2" t="s">
        <v>81</v>
      </c>
      <c r="I6" s="2" t="s">
        <v>79</v>
      </c>
      <c r="J6" s="2" t="s">
        <v>80</v>
      </c>
      <c r="K6" s="2" t="s">
        <v>81</v>
      </c>
    </row>
    <row r="7" spans="1:11" x14ac:dyDescent="0.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</row>
    <row r="8" spans="1:11" x14ac:dyDescent="0.2">
      <c r="A8" s="6"/>
      <c r="B8" s="266" t="s">
        <v>645</v>
      </c>
      <c r="C8" s="6"/>
      <c r="D8" s="6"/>
      <c r="E8" s="6"/>
      <c r="F8" s="6">
        <v>1</v>
      </c>
      <c r="G8" s="6"/>
      <c r="H8" s="6"/>
      <c r="I8" s="5">
        <f t="shared" ref="I8:K9" si="0">C8*F8</f>
        <v>0</v>
      </c>
      <c r="J8" s="5">
        <f t="shared" si="0"/>
        <v>0</v>
      </c>
      <c r="K8" s="5">
        <f t="shared" si="0"/>
        <v>0</v>
      </c>
    </row>
    <row r="9" spans="1:11" x14ac:dyDescent="0.2">
      <c r="A9" s="6"/>
      <c r="B9" s="266" t="s">
        <v>646</v>
      </c>
      <c r="C9" s="6"/>
      <c r="D9" s="6"/>
      <c r="E9" s="6"/>
      <c r="F9" s="6">
        <v>1</v>
      </c>
      <c r="G9" s="6"/>
      <c r="H9" s="6"/>
      <c r="I9" s="5">
        <f t="shared" si="0"/>
        <v>0</v>
      </c>
      <c r="J9" s="5">
        <f t="shared" si="0"/>
        <v>0</v>
      </c>
      <c r="K9" s="5">
        <f t="shared" si="0"/>
        <v>0</v>
      </c>
    </row>
    <row r="10" spans="1:11" x14ac:dyDescent="0.2">
      <c r="A10" s="6" t="s">
        <v>137</v>
      </c>
      <c r="B10" s="2">
        <v>9000</v>
      </c>
      <c r="C10" s="2" t="s">
        <v>12</v>
      </c>
      <c r="D10" s="2" t="s">
        <v>12</v>
      </c>
      <c r="E10" s="2" t="s">
        <v>12</v>
      </c>
      <c r="F10" s="2" t="s">
        <v>12</v>
      </c>
      <c r="G10" s="2" t="s">
        <v>12</v>
      </c>
      <c r="H10" s="2" t="s">
        <v>12</v>
      </c>
      <c r="I10" s="5">
        <f>SUM(I8:I9)</f>
        <v>0</v>
      </c>
      <c r="J10" s="5">
        <f>SUM(J8:J9)</f>
        <v>0</v>
      </c>
      <c r="K10" s="5">
        <f>SUM(K8:K9)</f>
        <v>0</v>
      </c>
    </row>
  </sheetData>
  <mergeCells count="5">
    <mergeCell ref="I4:K4"/>
    <mergeCell ref="A4:A6"/>
    <mergeCell ref="B4:B6"/>
    <mergeCell ref="C4:E4"/>
    <mergeCell ref="F4:H4"/>
  </mergeCells>
  <phoneticPr fontId="12" type="noConversion"/>
  <pageMargins left="0.7" right="0.7" top="0.75" bottom="0.75" header="0.3" footer="0.3"/>
  <pageSetup paperSize="9" scale="71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V71"/>
  <sheetViews>
    <sheetView topLeftCell="A10" zoomScale="80" zoomScaleNormal="80" workbookViewId="0">
      <selection activeCell="Z13" sqref="Z13"/>
    </sheetView>
  </sheetViews>
  <sheetFormatPr defaultRowHeight="12.75" x14ac:dyDescent="0.2"/>
  <cols>
    <col min="1" max="1" width="33.28515625" style="3" customWidth="1"/>
    <col min="2" max="2" width="8.7109375" style="3" customWidth="1"/>
    <col min="3" max="3" width="15.42578125" style="3" customWidth="1"/>
    <col min="4" max="4" width="15.5703125" style="3" bestFit="1" customWidth="1"/>
    <col min="5" max="5" width="11.42578125" style="3" hidden="1" customWidth="1"/>
    <col min="6" max="6" width="13" style="3" customWidth="1"/>
    <col min="7" max="7" width="13" style="3" hidden="1" customWidth="1"/>
    <col min="8" max="8" width="15.42578125" style="3" customWidth="1"/>
    <col min="9" max="9" width="14.85546875" style="3" hidden="1" customWidth="1"/>
    <col min="10" max="10" width="11.28515625" style="3" bestFit="1" customWidth="1"/>
    <col min="11" max="11" width="11.5703125" style="3" hidden="1" customWidth="1"/>
    <col min="12" max="12" width="11.42578125" style="3" hidden="1" customWidth="1"/>
    <col min="13" max="13" width="15.140625" style="3" bestFit="1" customWidth="1"/>
    <col min="14" max="14" width="14.42578125" style="3" hidden="1" customWidth="1"/>
    <col min="15" max="15" width="14.140625" style="3" customWidth="1"/>
    <col min="16" max="16" width="13.85546875" style="3" hidden="1" customWidth="1"/>
    <col min="17" max="17" width="13.28515625" style="3" hidden="1" customWidth="1"/>
    <col min="18" max="18" width="13.42578125" style="3" hidden="1" customWidth="1"/>
    <col min="19" max="19" width="11.28515625" style="3" hidden="1" customWidth="1"/>
    <col min="20" max="20" width="14" style="3" hidden="1" customWidth="1"/>
    <col min="21" max="21" width="15.42578125" style="3" customWidth="1"/>
    <col min="22" max="22" width="12.42578125" style="3" bestFit="1" customWidth="1"/>
    <col min="23" max="16384" width="9.140625" style="3"/>
  </cols>
  <sheetData>
    <row r="1" spans="1:22" x14ac:dyDescent="0.2">
      <c r="A1" s="340" t="s">
        <v>253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</row>
    <row r="2" spans="1:22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2" x14ac:dyDescent="0.2">
      <c r="A3" s="340" t="s">
        <v>254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</row>
    <row r="4" spans="1:22" ht="12.75" customHeight="1" x14ac:dyDescent="0.2">
      <c r="A4" s="354" t="s">
        <v>0</v>
      </c>
      <c r="B4" s="354" t="s">
        <v>1</v>
      </c>
      <c r="C4" s="360" t="s">
        <v>117</v>
      </c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</row>
    <row r="5" spans="1:22" ht="15" customHeight="1" x14ac:dyDescent="0.2">
      <c r="A5" s="355"/>
      <c r="B5" s="355"/>
      <c r="C5" s="362" t="s">
        <v>582</v>
      </c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9"/>
    </row>
    <row r="6" spans="1:22" x14ac:dyDescent="0.2">
      <c r="A6" s="355"/>
      <c r="B6" s="355"/>
      <c r="C6" s="357" t="s">
        <v>79</v>
      </c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9"/>
    </row>
    <row r="7" spans="1:22" ht="96.75" customHeight="1" x14ac:dyDescent="0.2">
      <c r="A7" s="356"/>
      <c r="B7" s="356"/>
      <c r="C7" s="71" t="s">
        <v>311</v>
      </c>
      <c r="D7" s="71" t="s">
        <v>432</v>
      </c>
      <c r="E7" s="71" t="s">
        <v>464</v>
      </c>
      <c r="F7" s="71" t="s">
        <v>429</v>
      </c>
      <c r="G7" s="71" t="s">
        <v>465</v>
      </c>
      <c r="H7" s="215" t="s">
        <v>430</v>
      </c>
      <c r="I7" s="91" t="s">
        <v>487</v>
      </c>
      <c r="J7" s="71" t="s">
        <v>431</v>
      </c>
      <c r="K7" s="71" t="s">
        <v>461</v>
      </c>
      <c r="L7" s="71" t="s">
        <v>308</v>
      </c>
      <c r="M7" s="91" t="s">
        <v>713</v>
      </c>
      <c r="N7" s="91" t="s">
        <v>581</v>
      </c>
      <c r="O7" s="91" t="s">
        <v>717</v>
      </c>
      <c r="P7" s="185" t="s">
        <v>345</v>
      </c>
      <c r="Q7" s="91" t="s">
        <v>569</v>
      </c>
      <c r="R7" s="91" t="s">
        <v>538</v>
      </c>
      <c r="S7" s="71" t="s">
        <v>309</v>
      </c>
      <c r="T7" s="71" t="s">
        <v>310</v>
      </c>
      <c r="U7" s="91" t="s">
        <v>567</v>
      </c>
    </row>
    <row r="8" spans="1:22" x14ac:dyDescent="0.2">
      <c r="A8" s="2">
        <v>1</v>
      </c>
      <c r="B8" s="2">
        <v>2</v>
      </c>
      <c r="C8" s="71"/>
      <c r="D8" s="71">
        <v>3</v>
      </c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</row>
    <row r="9" spans="1:22" ht="76.5" x14ac:dyDescent="0.2">
      <c r="A9" s="6" t="s">
        <v>238</v>
      </c>
      <c r="B9" s="266" t="s">
        <v>629</v>
      </c>
      <c r="C9" s="61">
        <v>0</v>
      </c>
      <c r="D9" s="72">
        <v>0</v>
      </c>
      <c r="E9" s="72">
        <v>0</v>
      </c>
      <c r="F9" s="61">
        <v>0</v>
      </c>
      <c r="G9" s="61">
        <v>0</v>
      </c>
      <c r="H9" s="61">
        <v>0</v>
      </c>
      <c r="I9" s="61">
        <v>0</v>
      </c>
      <c r="J9" s="72">
        <v>0</v>
      </c>
      <c r="K9" s="72">
        <v>0</v>
      </c>
      <c r="L9" s="72"/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</row>
    <row r="10" spans="1:22" ht="51" x14ac:dyDescent="0.2">
      <c r="A10" s="6" t="s">
        <v>239</v>
      </c>
      <c r="B10" s="266" t="s">
        <v>630</v>
      </c>
      <c r="C10" s="61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  <c r="S10" s="61">
        <v>0</v>
      </c>
      <c r="T10" s="61">
        <v>0</v>
      </c>
      <c r="U10" s="61">
        <v>0</v>
      </c>
    </row>
    <row r="11" spans="1:22" ht="25.5" x14ac:dyDescent="0.2">
      <c r="A11" s="6" t="s">
        <v>240</v>
      </c>
      <c r="B11" s="266" t="s">
        <v>631</v>
      </c>
      <c r="C11" s="72">
        <f>D11+F11+H11+J11+M11+N11+O11+P11+Q11+U11</f>
        <v>27146421.050000001</v>
      </c>
      <c r="D11" s="300">
        <f>SUM(D12:D22)</f>
        <v>5635600</v>
      </c>
      <c r="E11" s="300">
        <f t="shared" ref="E11:U11" si="0">SUM(E12:E22)</f>
        <v>0</v>
      </c>
      <c r="F11" s="300">
        <f>SUM(F12:F22)</f>
        <v>1330645</v>
      </c>
      <c r="G11" s="300">
        <f>SUM(G12:G22)</f>
        <v>0</v>
      </c>
      <c r="H11" s="300">
        <f t="shared" si="0"/>
        <v>4661540</v>
      </c>
      <c r="I11" s="300">
        <f t="shared" si="0"/>
        <v>0</v>
      </c>
      <c r="J11" s="300">
        <f>SUM(J12:J22)</f>
        <v>209673</v>
      </c>
      <c r="K11" s="72" t="e">
        <f t="shared" si="0"/>
        <v>#REF!</v>
      </c>
      <c r="L11" s="72">
        <f t="shared" si="0"/>
        <v>0</v>
      </c>
      <c r="M11" s="72">
        <f t="shared" si="0"/>
        <v>9646335.1999999993</v>
      </c>
      <c r="N11" s="72">
        <f t="shared" si="0"/>
        <v>0</v>
      </c>
      <c r="O11" s="72">
        <f t="shared" si="0"/>
        <v>257511</v>
      </c>
      <c r="P11" s="72">
        <f t="shared" si="0"/>
        <v>268484.94</v>
      </c>
      <c r="Q11" s="72">
        <f t="shared" si="0"/>
        <v>280761.90999999997</v>
      </c>
      <c r="R11" s="72">
        <f t="shared" si="0"/>
        <v>0</v>
      </c>
      <c r="S11" s="72">
        <f t="shared" si="0"/>
        <v>1290000</v>
      </c>
      <c r="T11" s="72">
        <f t="shared" si="0"/>
        <v>0</v>
      </c>
      <c r="U11" s="72">
        <f t="shared" si="0"/>
        <v>4855870</v>
      </c>
      <c r="V11" s="40"/>
    </row>
    <row r="12" spans="1:22" ht="15" customHeight="1" x14ac:dyDescent="0.2">
      <c r="A12" s="6" t="s">
        <v>15</v>
      </c>
      <c r="B12" s="364" t="s">
        <v>632</v>
      </c>
      <c r="C12" s="352">
        <f>SUM(D12:U13)</f>
        <v>80000</v>
      </c>
      <c r="D12" s="366">
        <f>'3.13.2'!L8</f>
        <v>4000</v>
      </c>
      <c r="E12" s="363">
        <v>0</v>
      </c>
      <c r="F12" s="352">
        <f>'3.13.2'!L6</f>
        <v>24000</v>
      </c>
      <c r="G12" s="352">
        <v>0</v>
      </c>
      <c r="H12" s="352">
        <v>0</v>
      </c>
      <c r="I12" s="352">
        <v>0</v>
      </c>
      <c r="J12" s="352">
        <f>'3.13.2'!L7</f>
        <v>52000</v>
      </c>
      <c r="K12" s="352">
        <v>0</v>
      </c>
      <c r="L12" s="363"/>
      <c r="M12" s="352">
        <v>0</v>
      </c>
      <c r="N12" s="352">
        <v>0</v>
      </c>
      <c r="O12" s="352">
        <v>0</v>
      </c>
      <c r="P12" s="352">
        <v>0</v>
      </c>
      <c r="Q12" s="352">
        <v>0</v>
      </c>
      <c r="R12" s="352">
        <v>0</v>
      </c>
      <c r="S12" s="352">
        <v>0</v>
      </c>
      <c r="T12" s="352">
        <v>0</v>
      </c>
      <c r="U12" s="352">
        <v>0</v>
      </c>
    </row>
    <row r="13" spans="1:22" x14ac:dyDescent="0.2">
      <c r="A13" s="6" t="s">
        <v>241</v>
      </c>
      <c r="B13" s="365"/>
      <c r="C13" s="353"/>
      <c r="D13" s="366"/>
      <c r="E13" s="363"/>
      <c r="F13" s="353"/>
      <c r="G13" s="353"/>
      <c r="H13" s="353"/>
      <c r="I13" s="353"/>
      <c r="J13" s="353"/>
      <c r="K13" s="353"/>
      <c r="L13" s="363"/>
      <c r="M13" s="353"/>
      <c r="N13" s="353"/>
      <c r="O13" s="353"/>
      <c r="P13" s="353"/>
      <c r="Q13" s="353"/>
      <c r="R13" s="353"/>
      <c r="S13" s="353"/>
      <c r="T13" s="353"/>
      <c r="U13" s="353"/>
    </row>
    <row r="14" spans="1:22" x14ac:dyDescent="0.2">
      <c r="A14" s="6" t="s">
        <v>242</v>
      </c>
      <c r="B14" s="266" t="s">
        <v>633</v>
      </c>
      <c r="C14" s="72">
        <f t="shared" ref="C14:C22" si="1">SUM(D14:U14)</f>
        <v>5000</v>
      </c>
      <c r="D14" s="72">
        <f>'3.13.3'!I8</f>
        <v>0</v>
      </c>
      <c r="E14" s="72">
        <v>0</v>
      </c>
      <c r="F14" s="72">
        <f>'3.13.3'!I7</f>
        <v>5000</v>
      </c>
      <c r="G14" s="72">
        <v>0</v>
      </c>
      <c r="H14" s="72">
        <v>0</v>
      </c>
      <c r="I14" s="72">
        <v>0</v>
      </c>
      <c r="J14" s="72">
        <f>'3.13.3'!I9</f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</row>
    <row r="15" spans="1:22" x14ac:dyDescent="0.2">
      <c r="A15" s="6" t="s">
        <v>243</v>
      </c>
      <c r="B15" s="266" t="s">
        <v>634</v>
      </c>
      <c r="C15" s="72">
        <f t="shared" si="1"/>
        <v>4423800</v>
      </c>
      <c r="D15" s="72">
        <f>'3.13.4'!I22</f>
        <v>4423800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</row>
    <row r="16" spans="1:22" x14ac:dyDescent="0.2">
      <c r="A16" s="6" t="s">
        <v>244</v>
      </c>
      <c r="B16" s="266" t="s">
        <v>635</v>
      </c>
      <c r="C16" s="72">
        <f t="shared" si="1"/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</row>
    <row r="17" spans="1:21" x14ac:dyDescent="0.2">
      <c r="A17" s="6" t="s">
        <v>245</v>
      </c>
      <c r="B17" s="266" t="s">
        <v>636</v>
      </c>
      <c r="C17" s="72">
        <f t="shared" si="1"/>
        <v>3438861.96</v>
      </c>
      <c r="D17" s="72">
        <f>'3.13.6'!I25</f>
        <v>655810.96</v>
      </c>
      <c r="E17" s="72">
        <v>0</v>
      </c>
      <c r="F17" s="72">
        <f>'3.13.6'!I35</f>
        <v>170000</v>
      </c>
      <c r="G17" s="72">
        <v>0</v>
      </c>
      <c r="H17" s="72">
        <v>0</v>
      </c>
      <c r="I17" s="72">
        <f>'3.13.6'!I70+'3.13.6'!I68</f>
        <v>0</v>
      </c>
      <c r="J17" s="72">
        <f>'3.13.6'!I43</f>
        <v>20000</v>
      </c>
      <c r="K17" s="72">
        <v>0</v>
      </c>
      <c r="L17" s="72"/>
      <c r="M17" s="72">
        <f>'3.13.6'!I61</f>
        <v>1290000</v>
      </c>
      <c r="N17" s="72">
        <v>0</v>
      </c>
      <c r="O17" s="72">
        <f>'3.13.6'!I69+'3.13.6'!I87</f>
        <v>13051</v>
      </c>
      <c r="P17" s="72">
        <v>0</v>
      </c>
      <c r="Q17" s="72">
        <v>0</v>
      </c>
      <c r="R17" s="72">
        <f>'3.13.6'!I51</f>
        <v>0</v>
      </c>
      <c r="S17" s="72">
        <f>'3.13.6'!I61</f>
        <v>1290000</v>
      </c>
      <c r="T17" s="72">
        <v>0</v>
      </c>
      <c r="U17" s="72">
        <v>0</v>
      </c>
    </row>
    <row r="18" spans="1:21" x14ac:dyDescent="0.2">
      <c r="A18" s="6" t="s">
        <v>246</v>
      </c>
      <c r="B18" s="266" t="s">
        <v>637</v>
      </c>
      <c r="C18" s="72">
        <f t="shared" si="1"/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</row>
    <row r="19" spans="1:21" ht="25.5" x14ac:dyDescent="0.2">
      <c r="A19" s="6" t="s">
        <v>247</v>
      </c>
      <c r="B19" s="266" t="s">
        <v>638</v>
      </c>
      <c r="C19" s="72">
        <f t="shared" si="1"/>
        <v>30000</v>
      </c>
      <c r="D19" s="72">
        <v>0</v>
      </c>
      <c r="E19" s="72">
        <v>0</v>
      </c>
      <c r="F19" s="72">
        <f>'3.13.8'!I8</f>
        <v>20000</v>
      </c>
      <c r="G19" s="72">
        <v>0</v>
      </c>
      <c r="H19" s="72">
        <v>0</v>
      </c>
      <c r="I19" s="72">
        <v>0</v>
      </c>
      <c r="J19" s="72">
        <f>'3.13.8'!I7</f>
        <v>10000</v>
      </c>
      <c r="K19" s="72">
        <v>0</v>
      </c>
      <c r="L19" s="72"/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</row>
    <row r="20" spans="1:21" ht="63.75" x14ac:dyDescent="0.2">
      <c r="A20" s="90" t="s">
        <v>628</v>
      </c>
      <c r="B20" s="266" t="s">
        <v>639</v>
      </c>
      <c r="C20" s="72">
        <f>D20+F20+H20+J20+M20+N20+O20+P20+Q20+U20</f>
        <v>14123251.199999999</v>
      </c>
      <c r="D20" s="72">
        <f>'3.13.9'!F26</f>
        <v>340200</v>
      </c>
      <c r="E20" s="72">
        <f>'3.13.9'!F34</f>
        <v>0</v>
      </c>
      <c r="F20" s="72">
        <f>'3.13.9'!F47</f>
        <v>351000</v>
      </c>
      <c r="G20" s="72">
        <v>0</v>
      </c>
      <c r="H20" s="72">
        <v>0</v>
      </c>
      <c r="I20" s="72">
        <v>0</v>
      </c>
      <c r="J20" s="72">
        <f>'3.13.9'!F59</f>
        <v>78000</v>
      </c>
      <c r="K20" s="72" t="e">
        <f>'3.13.9'!#REF!</f>
        <v>#REF!</v>
      </c>
      <c r="L20" s="72">
        <f>'3.13.9'!F80</f>
        <v>0</v>
      </c>
      <c r="M20" s="72">
        <f>'3.13.9'!F90+'3.13.9'!F91+'3.13.9'!F92+'3.13.9'!F95+'3.13.9'!F96</f>
        <v>8356335.2000000002</v>
      </c>
      <c r="N20" s="72">
        <v>0</v>
      </c>
      <c r="O20" s="72">
        <f>'3.13.9'!F122+'3.13.9'!F94+'3.13.9'!F124+'3.13.9'!F126+'3.13.9'!F123+'3.13.9'!F125</f>
        <v>6846</v>
      </c>
      <c r="P20" s="72">
        <f>'3.13.9'!F83</f>
        <v>135000</v>
      </c>
      <c r="Q20" s="72">
        <v>0</v>
      </c>
      <c r="R20" s="72">
        <v>0</v>
      </c>
      <c r="S20" s="72">
        <f>'3.13.9'!F106</f>
        <v>0</v>
      </c>
      <c r="T20" s="72">
        <v>0</v>
      </c>
      <c r="U20" s="72">
        <f>'3.13.9'!F93</f>
        <v>4855870</v>
      </c>
    </row>
    <row r="21" spans="1:21" ht="25.5" x14ac:dyDescent="0.2">
      <c r="A21" s="6" t="s">
        <v>248</v>
      </c>
      <c r="B21" s="266" t="s">
        <v>640</v>
      </c>
      <c r="C21" s="72">
        <f t="shared" si="1"/>
        <v>4928966.5</v>
      </c>
      <c r="D21" s="72">
        <v>0</v>
      </c>
      <c r="E21" s="72">
        <v>0</v>
      </c>
      <c r="F21" s="72">
        <v>0</v>
      </c>
      <c r="G21" s="72">
        <v>0</v>
      </c>
      <c r="H21" s="72">
        <f>'3.13.10'!I14</f>
        <v>4661540</v>
      </c>
      <c r="I21" s="72">
        <f>'3.13.10'!I23</f>
        <v>0</v>
      </c>
      <c r="J21" s="72">
        <v>0</v>
      </c>
      <c r="K21" s="72">
        <v>0</v>
      </c>
      <c r="L21" s="72"/>
      <c r="M21" s="72">
        <v>0</v>
      </c>
      <c r="N21" s="72">
        <f>'3.13.10'!I63+'3.13.10'!I81</f>
        <v>0</v>
      </c>
      <c r="O21" s="72">
        <f>'3.13.10'!I65+'3.13.10'!I100</f>
        <v>0</v>
      </c>
      <c r="P21" s="72">
        <f>'3.13.10'!I110</f>
        <v>0</v>
      </c>
      <c r="Q21" s="72">
        <f>'3.13.10'!I122</f>
        <v>267426.5</v>
      </c>
      <c r="R21" s="72">
        <v>0</v>
      </c>
      <c r="S21" s="72">
        <f>'3.13.10'!I48</f>
        <v>0</v>
      </c>
      <c r="T21" s="72">
        <f>'3.13.10'!I56</f>
        <v>0</v>
      </c>
      <c r="U21" s="72">
        <f>'3.13.10'!I64</f>
        <v>0</v>
      </c>
    </row>
    <row r="22" spans="1:21" x14ac:dyDescent="0.2">
      <c r="A22" s="6" t="s">
        <v>249</v>
      </c>
      <c r="B22" s="266" t="s">
        <v>641</v>
      </c>
      <c r="C22" s="72">
        <f t="shared" si="1"/>
        <v>1406541.39</v>
      </c>
      <c r="D22" s="72">
        <f>'3.13.11'!I12</f>
        <v>211789.03999999998</v>
      </c>
      <c r="E22" s="72">
        <f>'3.13.11'!I141</f>
        <v>0</v>
      </c>
      <c r="F22" s="72">
        <f>'3.13.11'!I49</f>
        <v>760645</v>
      </c>
      <c r="G22" s="72">
        <f>'3.13.11'!I139</f>
        <v>0</v>
      </c>
      <c r="H22" s="72">
        <f>'3.13.11'!I77</f>
        <v>0</v>
      </c>
      <c r="I22" s="72">
        <v>0</v>
      </c>
      <c r="J22" s="72">
        <f>'3.13.11'!I32</f>
        <v>49673</v>
      </c>
      <c r="K22" s="72">
        <f>'3.13.11'!I71</f>
        <v>0</v>
      </c>
      <c r="L22" s="72">
        <f>'3.13.11'!I71</f>
        <v>0</v>
      </c>
      <c r="M22" s="72">
        <f>'3.13.11'!I79</f>
        <v>0</v>
      </c>
      <c r="N22" s="72"/>
      <c r="O22" s="72">
        <f>'3.13.11'!I97</f>
        <v>237614</v>
      </c>
      <c r="P22" s="72">
        <f>'3.13.11'!I131</f>
        <v>133484.94</v>
      </c>
      <c r="Q22" s="72">
        <f>'3.13.11'!I145</f>
        <v>13335.41</v>
      </c>
      <c r="R22" s="72"/>
      <c r="S22" s="72">
        <v>0</v>
      </c>
      <c r="T22" s="72">
        <v>0</v>
      </c>
      <c r="U22" s="72">
        <v>0</v>
      </c>
    </row>
    <row r="23" spans="1:21" ht="76.5" x14ac:dyDescent="0.2">
      <c r="A23" s="6" t="s">
        <v>250</v>
      </c>
      <c r="B23" s="266" t="s">
        <v>642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</row>
    <row r="24" spans="1:21" ht="51" x14ac:dyDescent="0.2">
      <c r="A24" s="6" t="s">
        <v>251</v>
      </c>
      <c r="B24" s="266" t="s">
        <v>643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0</v>
      </c>
      <c r="S24" s="61">
        <v>0</v>
      </c>
      <c r="T24" s="61">
        <v>0</v>
      </c>
      <c r="U24" s="61">
        <v>0</v>
      </c>
    </row>
    <row r="25" spans="1:21" ht="38.25" x14ac:dyDescent="0.2">
      <c r="A25" s="6" t="s">
        <v>252</v>
      </c>
      <c r="B25" s="266" t="s">
        <v>644</v>
      </c>
      <c r="C25" s="61">
        <f>C11</f>
        <v>27146421.050000001</v>
      </c>
      <c r="D25" s="61">
        <f t="shared" ref="D25:U25" si="2">D11</f>
        <v>5635600</v>
      </c>
      <c r="E25" s="61">
        <f t="shared" si="2"/>
        <v>0</v>
      </c>
      <c r="F25" s="61">
        <f t="shared" si="2"/>
        <v>1330645</v>
      </c>
      <c r="G25" s="61">
        <f t="shared" si="2"/>
        <v>0</v>
      </c>
      <c r="H25" s="61">
        <f t="shared" si="2"/>
        <v>4661540</v>
      </c>
      <c r="I25" s="61">
        <f t="shared" si="2"/>
        <v>0</v>
      </c>
      <c r="J25" s="61">
        <f t="shared" si="2"/>
        <v>209673</v>
      </c>
      <c r="K25" s="61" t="e">
        <f t="shared" si="2"/>
        <v>#REF!</v>
      </c>
      <c r="L25" s="61">
        <f t="shared" si="2"/>
        <v>0</v>
      </c>
      <c r="M25" s="61">
        <f t="shared" si="2"/>
        <v>9646335.1999999993</v>
      </c>
      <c r="N25" s="61">
        <f t="shared" si="2"/>
        <v>0</v>
      </c>
      <c r="O25" s="61">
        <f t="shared" si="2"/>
        <v>257511</v>
      </c>
      <c r="P25" s="61">
        <f t="shared" si="2"/>
        <v>268484.94</v>
      </c>
      <c r="Q25" s="61">
        <f t="shared" si="2"/>
        <v>280761.90999999997</v>
      </c>
      <c r="R25" s="61">
        <f t="shared" si="2"/>
        <v>0</v>
      </c>
      <c r="S25" s="61">
        <f t="shared" si="2"/>
        <v>1290000</v>
      </c>
      <c r="T25" s="61">
        <f t="shared" si="2"/>
        <v>0</v>
      </c>
      <c r="U25" s="61">
        <f t="shared" si="2"/>
        <v>4855870</v>
      </c>
    </row>
    <row r="26" spans="1:21" ht="12" customHeight="1" x14ac:dyDescent="0.2"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</row>
    <row r="27" spans="1:21" x14ac:dyDescent="0.2">
      <c r="A27" s="354" t="s">
        <v>0</v>
      </c>
      <c r="B27" s="354" t="s">
        <v>1</v>
      </c>
      <c r="C27" s="360" t="s">
        <v>117</v>
      </c>
      <c r="D27" s="361"/>
      <c r="E27" s="361"/>
      <c r="F27" s="361"/>
      <c r="G27" s="361"/>
      <c r="H27" s="361"/>
      <c r="I27" s="361"/>
      <c r="J27" s="361"/>
      <c r="K27" s="361"/>
      <c r="L27" s="361"/>
      <c r="M27" s="361"/>
      <c r="N27" s="361"/>
      <c r="O27" s="361"/>
      <c r="P27" s="361"/>
      <c r="Q27" s="361"/>
      <c r="R27" s="361"/>
      <c r="S27" s="361"/>
      <c r="T27" s="361"/>
      <c r="U27" s="361"/>
    </row>
    <row r="28" spans="1:21" x14ac:dyDescent="0.2">
      <c r="A28" s="355"/>
      <c r="B28" s="355"/>
      <c r="C28" s="362" t="s">
        <v>622</v>
      </c>
      <c r="D28" s="358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9"/>
    </row>
    <row r="29" spans="1:21" x14ac:dyDescent="0.2">
      <c r="A29" s="355"/>
      <c r="B29" s="355"/>
      <c r="C29" s="357" t="s">
        <v>80</v>
      </c>
      <c r="D29" s="358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8"/>
      <c r="P29" s="358"/>
      <c r="Q29" s="358"/>
      <c r="R29" s="358"/>
      <c r="S29" s="358"/>
      <c r="T29" s="358"/>
      <c r="U29" s="359"/>
    </row>
    <row r="30" spans="1:21" ht="69.75" customHeight="1" x14ac:dyDescent="0.2">
      <c r="A30" s="356"/>
      <c r="B30" s="356"/>
      <c r="C30" s="71" t="s">
        <v>311</v>
      </c>
      <c r="D30" s="71" t="s">
        <v>432</v>
      </c>
      <c r="E30" s="71" t="s">
        <v>464</v>
      </c>
      <c r="F30" s="71" t="s">
        <v>429</v>
      </c>
      <c r="G30" s="71" t="s">
        <v>465</v>
      </c>
      <c r="H30" s="71" t="s">
        <v>430</v>
      </c>
      <c r="I30" s="71" t="s">
        <v>446</v>
      </c>
      <c r="J30" s="71" t="s">
        <v>431</v>
      </c>
      <c r="K30" s="71" t="s">
        <v>461</v>
      </c>
      <c r="L30" s="71" t="s">
        <v>308</v>
      </c>
      <c r="M30" s="91" t="s">
        <v>715</v>
      </c>
      <c r="N30" s="91" t="s">
        <v>539</v>
      </c>
      <c r="O30" s="91" t="s">
        <v>717</v>
      </c>
      <c r="P30" s="71" t="s">
        <v>345</v>
      </c>
      <c r="Q30" s="186" t="s">
        <v>570</v>
      </c>
      <c r="R30" s="71" t="s">
        <v>350</v>
      </c>
      <c r="S30" s="71" t="s">
        <v>309</v>
      </c>
      <c r="T30" s="71" t="s">
        <v>310</v>
      </c>
      <c r="U30" s="91" t="s">
        <v>536</v>
      </c>
    </row>
    <row r="31" spans="1:21" x14ac:dyDescent="0.2">
      <c r="A31" s="2">
        <v>1</v>
      </c>
      <c r="B31" s="2">
        <v>2</v>
      </c>
      <c r="C31" s="71"/>
      <c r="D31" s="71">
        <v>3</v>
      </c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</row>
    <row r="32" spans="1:21" ht="76.5" x14ac:dyDescent="0.2">
      <c r="A32" s="6" t="s">
        <v>238</v>
      </c>
      <c r="B32" s="266" t="s">
        <v>629</v>
      </c>
      <c r="C32" s="61">
        <v>0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</row>
    <row r="33" spans="1:21" ht="51" x14ac:dyDescent="0.2">
      <c r="A33" s="6" t="s">
        <v>239</v>
      </c>
      <c r="B33" s="266" t="s">
        <v>630</v>
      </c>
      <c r="C33" s="61">
        <v>0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  <c r="T33" s="61">
        <v>0</v>
      </c>
      <c r="U33" s="61">
        <v>0</v>
      </c>
    </row>
    <row r="34" spans="1:21" ht="25.5" x14ac:dyDescent="0.2">
      <c r="A34" s="6" t="s">
        <v>240</v>
      </c>
      <c r="B34" s="266" t="s">
        <v>631</v>
      </c>
      <c r="C34" s="72">
        <f>SUM(D34:U34)</f>
        <v>25936310.669999998</v>
      </c>
      <c r="D34" s="72">
        <f>SUM(D35:D45)</f>
        <v>5635600</v>
      </c>
      <c r="E34" s="72">
        <f t="shared" ref="E34:U34" si="3">SUM(E35:E45)</f>
        <v>0</v>
      </c>
      <c r="F34" s="72">
        <f>SUM(F35:F45)</f>
        <v>1330645</v>
      </c>
      <c r="G34" s="72">
        <f>SUM(G35:G45)</f>
        <v>0</v>
      </c>
      <c r="H34" s="72">
        <f t="shared" si="3"/>
        <v>2799605</v>
      </c>
      <c r="I34" s="72">
        <f t="shared" si="3"/>
        <v>0</v>
      </c>
      <c r="J34" s="72">
        <f>SUM(J35:J45)</f>
        <v>209673</v>
      </c>
      <c r="K34" s="72">
        <f t="shared" si="3"/>
        <v>0</v>
      </c>
      <c r="L34" s="72">
        <f t="shared" si="3"/>
        <v>0</v>
      </c>
      <c r="M34" s="72">
        <f t="shared" si="3"/>
        <v>11001384.470000001</v>
      </c>
      <c r="N34" s="72">
        <f t="shared" si="3"/>
        <v>0</v>
      </c>
      <c r="O34" s="72">
        <f>SUM(O35:O45)</f>
        <v>71585</v>
      </c>
      <c r="P34" s="72">
        <f t="shared" si="3"/>
        <v>0</v>
      </c>
      <c r="Q34" s="72">
        <f t="shared" si="3"/>
        <v>0</v>
      </c>
      <c r="R34" s="72">
        <f t="shared" si="3"/>
        <v>0</v>
      </c>
      <c r="S34" s="72">
        <f t="shared" si="3"/>
        <v>0</v>
      </c>
      <c r="T34" s="72">
        <f t="shared" si="3"/>
        <v>0</v>
      </c>
      <c r="U34" s="72">
        <f t="shared" si="3"/>
        <v>4887818.2</v>
      </c>
    </row>
    <row r="35" spans="1:21" ht="15" customHeight="1" x14ac:dyDescent="0.2">
      <c r="A35" s="6" t="s">
        <v>15</v>
      </c>
      <c r="B35" s="364" t="s">
        <v>632</v>
      </c>
      <c r="C35" s="352">
        <f>SUM(D35:U36)</f>
        <v>80000</v>
      </c>
      <c r="D35" s="366">
        <f>'3.13.2'!M8</f>
        <v>4000</v>
      </c>
      <c r="E35" s="363">
        <v>0</v>
      </c>
      <c r="F35" s="352">
        <f>'3.13.2'!M6</f>
        <v>24000</v>
      </c>
      <c r="G35" s="352">
        <v>0</v>
      </c>
      <c r="H35" s="352">
        <v>0</v>
      </c>
      <c r="I35" s="352">
        <v>0</v>
      </c>
      <c r="J35" s="352">
        <f>'3.13.2'!M7</f>
        <v>52000</v>
      </c>
      <c r="K35" s="363">
        <v>0</v>
      </c>
      <c r="L35" s="363"/>
      <c r="M35" s="352">
        <v>0</v>
      </c>
      <c r="N35" s="352">
        <v>0</v>
      </c>
      <c r="O35" s="352">
        <v>0</v>
      </c>
      <c r="P35" s="352">
        <v>0</v>
      </c>
      <c r="Q35" s="352">
        <v>0</v>
      </c>
      <c r="R35" s="352">
        <v>0</v>
      </c>
      <c r="S35" s="352">
        <v>0</v>
      </c>
      <c r="T35" s="352">
        <v>0</v>
      </c>
      <c r="U35" s="352">
        <v>0</v>
      </c>
    </row>
    <row r="36" spans="1:21" x14ac:dyDescent="0.2">
      <c r="A36" s="6" t="s">
        <v>241</v>
      </c>
      <c r="B36" s="365"/>
      <c r="C36" s="353"/>
      <c r="D36" s="366"/>
      <c r="E36" s="363"/>
      <c r="F36" s="353"/>
      <c r="G36" s="353"/>
      <c r="H36" s="353"/>
      <c r="I36" s="353"/>
      <c r="J36" s="353"/>
      <c r="K36" s="363"/>
      <c r="L36" s="363"/>
      <c r="M36" s="353"/>
      <c r="N36" s="353"/>
      <c r="O36" s="353"/>
      <c r="P36" s="353"/>
      <c r="Q36" s="353"/>
      <c r="R36" s="353"/>
      <c r="S36" s="353"/>
      <c r="T36" s="353"/>
      <c r="U36" s="353"/>
    </row>
    <row r="37" spans="1:21" x14ac:dyDescent="0.2">
      <c r="A37" s="6" t="s">
        <v>242</v>
      </c>
      <c r="B37" s="266" t="s">
        <v>633</v>
      </c>
      <c r="C37" s="72">
        <f t="shared" ref="C37:C42" si="4">SUM(D37:U37)</f>
        <v>5000</v>
      </c>
      <c r="D37" s="72">
        <v>0</v>
      </c>
      <c r="E37" s="72">
        <v>0</v>
      </c>
      <c r="F37" s="72">
        <f>'3.13.3'!J10</f>
        <v>5000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2">
        <v>0</v>
      </c>
      <c r="R37" s="72">
        <v>0</v>
      </c>
      <c r="S37" s="72">
        <v>0</v>
      </c>
      <c r="T37" s="72">
        <v>0</v>
      </c>
      <c r="U37" s="72">
        <v>0</v>
      </c>
    </row>
    <row r="38" spans="1:21" x14ac:dyDescent="0.2">
      <c r="A38" s="6" t="s">
        <v>243</v>
      </c>
      <c r="B38" s="266" t="s">
        <v>634</v>
      </c>
      <c r="C38" s="72">
        <f t="shared" si="4"/>
        <v>4423800</v>
      </c>
      <c r="D38" s="72">
        <f>'3.13.4'!J22</f>
        <v>4423800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0</v>
      </c>
      <c r="S38" s="72">
        <v>0</v>
      </c>
      <c r="T38" s="72">
        <v>0</v>
      </c>
      <c r="U38" s="72">
        <v>0</v>
      </c>
    </row>
    <row r="39" spans="1:21" x14ac:dyDescent="0.2">
      <c r="A39" s="6" t="s">
        <v>244</v>
      </c>
      <c r="B39" s="266" t="s">
        <v>635</v>
      </c>
      <c r="C39" s="72">
        <f t="shared" si="4"/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2">
        <v>0</v>
      </c>
      <c r="R39" s="72">
        <v>0</v>
      </c>
      <c r="S39" s="72">
        <v>0</v>
      </c>
      <c r="T39" s="72">
        <v>0</v>
      </c>
      <c r="U39" s="72">
        <v>0</v>
      </c>
    </row>
    <row r="40" spans="1:21" x14ac:dyDescent="0.2">
      <c r="A40" s="6" t="s">
        <v>245</v>
      </c>
      <c r="B40" s="266" t="s">
        <v>636</v>
      </c>
      <c r="C40" s="72">
        <f t="shared" si="4"/>
        <v>3504890.96</v>
      </c>
      <c r="D40" s="72">
        <f>'3.13.6'!J25</f>
        <v>655810.96000000008</v>
      </c>
      <c r="E40" s="72">
        <v>0</v>
      </c>
      <c r="F40" s="72">
        <f>'3.13.6'!J35</f>
        <v>170000</v>
      </c>
      <c r="G40" s="72">
        <v>0</v>
      </c>
      <c r="H40" s="72">
        <v>0</v>
      </c>
      <c r="I40" s="72">
        <v>0</v>
      </c>
      <c r="J40" s="72">
        <f>'3.13.6'!J43</f>
        <v>20000</v>
      </c>
      <c r="K40" s="72">
        <v>0</v>
      </c>
      <c r="L40" s="72"/>
      <c r="M40" s="72">
        <f>'3.13.6'!J61</f>
        <v>2632000</v>
      </c>
      <c r="N40" s="72">
        <v>0</v>
      </c>
      <c r="O40" s="72">
        <f>'3.13.6'!J87</f>
        <v>27080</v>
      </c>
      <c r="P40" s="72">
        <v>0</v>
      </c>
      <c r="Q40" s="72">
        <f>'3.13.6'!I94</f>
        <v>0</v>
      </c>
      <c r="R40" s="72">
        <v>0</v>
      </c>
      <c r="S40" s="72"/>
      <c r="T40" s="72">
        <v>0</v>
      </c>
      <c r="U40" s="72">
        <v>0</v>
      </c>
    </row>
    <row r="41" spans="1:21" x14ac:dyDescent="0.2">
      <c r="A41" s="6" t="s">
        <v>246</v>
      </c>
      <c r="B41" s="266" t="s">
        <v>637</v>
      </c>
      <c r="C41" s="72">
        <f t="shared" si="4"/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2">
        <v>0</v>
      </c>
      <c r="R41" s="72">
        <v>0</v>
      </c>
      <c r="S41" s="72">
        <v>0</v>
      </c>
      <c r="T41" s="72">
        <v>0</v>
      </c>
      <c r="U41" s="72">
        <v>0</v>
      </c>
    </row>
    <row r="42" spans="1:21" ht="25.5" x14ac:dyDescent="0.2">
      <c r="A42" s="6" t="s">
        <v>247</v>
      </c>
      <c r="B42" s="266" t="s">
        <v>638</v>
      </c>
      <c r="C42" s="72">
        <f t="shared" si="4"/>
        <v>30000</v>
      </c>
      <c r="D42" s="72">
        <v>0</v>
      </c>
      <c r="E42" s="72">
        <v>0</v>
      </c>
      <c r="F42" s="72">
        <f>'3.13.8'!J8</f>
        <v>20000</v>
      </c>
      <c r="G42" s="72">
        <v>0</v>
      </c>
      <c r="H42" s="72">
        <v>0</v>
      </c>
      <c r="I42" s="72">
        <v>0</v>
      </c>
      <c r="J42" s="72">
        <f>'3.13.8'!J7</f>
        <v>10000</v>
      </c>
      <c r="K42" s="72">
        <v>0</v>
      </c>
      <c r="L42" s="72"/>
      <c r="M42" s="72">
        <v>0</v>
      </c>
      <c r="N42" s="72">
        <v>0</v>
      </c>
      <c r="O42" s="72">
        <v>0</v>
      </c>
      <c r="P42" s="72">
        <v>0</v>
      </c>
      <c r="Q42" s="72">
        <v>0</v>
      </c>
      <c r="R42" s="72">
        <v>0</v>
      </c>
      <c r="S42" s="72">
        <v>0</v>
      </c>
      <c r="T42" s="72">
        <v>0</v>
      </c>
      <c r="U42" s="72">
        <v>0</v>
      </c>
    </row>
    <row r="43" spans="1:21" ht="63.75" x14ac:dyDescent="0.2">
      <c r="A43" s="90" t="s">
        <v>628</v>
      </c>
      <c r="B43" s="266" t="s">
        <v>639</v>
      </c>
      <c r="C43" s="72">
        <f>D43+F43+H43+I43+J43+M43+N43+O43+P43+Q43+R43+S43+T43+U43</f>
        <v>14033293.670000002</v>
      </c>
      <c r="D43" s="72">
        <f>'3.13.9'!G26</f>
        <v>340200</v>
      </c>
      <c r="E43" s="72" t="str">
        <f>'3.13.9'!F63</f>
        <v>на 2024 г.</v>
      </c>
      <c r="F43" s="72">
        <f>'3.13.9'!G47</f>
        <v>351000</v>
      </c>
      <c r="G43" s="72">
        <v>0</v>
      </c>
      <c r="H43" s="72">
        <v>0</v>
      </c>
      <c r="I43" s="72">
        <v>0</v>
      </c>
      <c r="J43" s="72">
        <f>'3.13.9'!G59</f>
        <v>78000</v>
      </c>
      <c r="K43" s="72">
        <v>0</v>
      </c>
      <c r="L43" s="72"/>
      <c r="M43" s="72">
        <f>'3.13.9'!G90+'3.13.9'!G91+'3.13.9'!G92</f>
        <v>8369384.4700000007</v>
      </c>
      <c r="N43" s="72">
        <v>0</v>
      </c>
      <c r="O43" s="72">
        <f>'3.13.9'!G127+'3.13.9'!G94</f>
        <v>6891</v>
      </c>
      <c r="P43" s="72">
        <f>'3.13.9'!F142</f>
        <v>0</v>
      </c>
      <c r="Q43" s="72">
        <v>0</v>
      </c>
      <c r="R43" s="72">
        <v>0</v>
      </c>
      <c r="S43" s="72">
        <f>'3.13.9'!F133</f>
        <v>0</v>
      </c>
      <c r="T43" s="72">
        <v>0</v>
      </c>
      <c r="U43" s="72">
        <f>'3.13.9'!G93</f>
        <v>4887818.2</v>
      </c>
    </row>
    <row r="44" spans="1:21" ht="25.5" x14ac:dyDescent="0.2">
      <c r="A44" s="6" t="s">
        <v>248</v>
      </c>
      <c r="B44" s="266" t="s">
        <v>640</v>
      </c>
      <c r="C44" s="72">
        <f>SUM(D44:U44)</f>
        <v>2799605</v>
      </c>
      <c r="D44" s="72">
        <v>0</v>
      </c>
      <c r="E44" s="72">
        <v>0</v>
      </c>
      <c r="F44" s="72">
        <v>0</v>
      </c>
      <c r="G44" s="72">
        <v>0</v>
      </c>
      <c r="H44" s="72">
        <f>'3.13.10'!J14</f>
        <v>2799605</v>
      </c>
      <c r="I44" s="72">
        <f>'3.13.10'!I47</f>
        <v>0</v>
      </c>
      <c r="J44" s="72">
        <v>0</v>
      </c>
      <c r="K44" s="72">
        <v>0</v>
      </c>
      <c r="L44" s="72"/>
      <c r="M44" s="72">
        <v>0</v>
      </c>
      <c r="N44" s="72">
        <f>'3.13.10'!J63</f>
        <v>0</v>
      </c>
      <c r="O44" s="72">
        <f>'3.13.10'!J65</f>
        <v>0</v>
      </c>
      <c r="P44" s="72">
        <v>0</v>
      </c>
      <c r="Q44" s="72">
        <v>0</v>
      </c>
      <c r="R44" s="72">
        <v>0</v>
      </c>
      <c r="S44" s="72">
        <v>0</v>
      </c>
      <c r="T44" s="72">
        <v>0</v>
      </c>
      <c r="U44" s="72">
        <f>'3.13.10'!J64</f>
        <v>0</v>
      </c>
    </row>
    <row r="45" spans="1:21" x14ac:dyDescent="0.2">
      <c r="A45" s="6" t="s">
        <v>249</v>
      </c>
      <c r="B45" s="266" t="s">
        <v>641</v>
      </c>
      <c r="C45" s="72">
        <f>SUM(D45:U45)</f>
        <v>1059721.04</v>
      </c>
      <c r="D45" s="72">
        <f>'3.13.11'!J12</f>
        <v>211789.03999999998</v>
      </c>
      <c r="E45" s="72">
        <v>0</v>
      </c>
      <c r="F45" s="72">
        <f>'3.13.11'!J49</f>
        <v>760645</v>
      </c>
      <c r="G45" s="72">
        <v>0</v>
      </c>
      <c r="H45" s="72">
        <v>0</v>
      </c>
      <c r="I45" s="72">
        <v>0</v>
      </c>
      <c r="J45" s="72">
        <f>'3.13.11'!J32</f>
        <v>49673</v>
      </c>
      <c r="K45" s="72"/>
      <c r="L45" s="72"/>
      <c r="M45" s="72">
        <v>0</v>
      </c>
      <c r="N45" s="72">
        <v>0</v>
      </c>
      <c r="O45" s="72">
        <f>'3.13.11'!J97</f>
        <v>37614</v>
      </c>
      <c r="P45" s="72">
        <f>'3.13.11'!J116</f>
        <v>0</v>
      </c>
      <c r="Q45" s="72">
        <v>0</v>
      </c>
      <c r="R45" s="72">
        <f>'3.13.11'!I150</f>
        <v>0</v>
      </c>
      <c r="S45" s="72">
        <v>0</v>
      </c>
      <c r="T45" s="72">
        <v>0</v>
      </c>
      <c r="U45" s="72">
        <v>0</v>
      </c>
    </row>
    <row r="46" spans="1:21" ht="76.5" x14ac:dyDescent="0.2">
      <c r="A46" s="6" t="s">
        <v>250</v>
      </c>
      <c r="B46" s="266" t="s">
        <v>642</v>
      </c>
      <c r="C46" s="61">
        <v>0</v>
      </c>
      <c r="D46" s="61">
        <v>0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0</v>
      </c>
      <c r="S46" s="61">
        <v>0</v>
      </c>
      <c r="T46" s="61">
        <v>0</v>
      </c>
      <c r="U46" s="61">
        <v>0</v>
      </c>
    </row>
    <row r="47" spans="1:21" ht="51" x14ac:dyDescent="0.2">
      <c r="A47" s="6" t="s">
        <v>251</v>
      </c>
      <c r="B47" s="266" t="s">
        <v>643</v>
      </c>
      <c r="C47" s="61">
        <v>0</v>
      </c>
      <c r="D47" s="61">
        <v>0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  <c r="P47" s="61">
        <v>0</v>
      </c>
      <c r="Q47" s="61">
        <v>0</v>
      </c>
      <c r="R47" s="61">
        <v>0</v>
      </c>
      <c r="S47" s="61">
        <v>0</v>
      </c>
      <c r="T47" s="61">
        <v>0</v>
      </c>
      <c r="U47" s="61">
        <v>0</v>
      </c>
    </row>
    <row r="48" spans="1:21" ht="38.25" x14ac:dyDescent="0.2">
      <c r="A48" s="6" t="s">
        <v>252</v>
      </c>
      <c r="B48" s="266" t="s">
        <v>644</v>
      </c>
      <c r="C48" s="61">
        <f>C34</f>
        <v>25936310.669999998</v>
      </c>
      <c r="D48" s="61">
        <f t="shared" ref="D48:U48" si="5">D34</f>
        <v>5635600</v>
      </c>
      <c r="E48" s="61">
        <f t="shared" si="5"/>
        <v>0</v>
      </c>
      <c r="F48" s="61">
        <f t="shared" si="5"/>
        <v>1330645</v>
      </c>
      <c r="G48" s="61">
        <f t="shared" si="5"/>
        <v>0</v>
      </c>
      <c r="H48" s="61">
        <f t="shared" si="5"/>
        <v>2799605</v>
      </c>
      <c r="I48" s="61">
        <f t="shared" si="5"/>
        <v>0</v>
      </c>
      <c r="J48" s="61">
        <f t="shared" si="5"/>
        <v>209673</v>
      </c>
      <c r="K48" s="61">
        <f t="shared" si="5"/>
        <v>0</v>
      </c>
      <c r="L48" s="61">
        <f t="shared" si="5"/>
        <v>0</v>
      </c>
      <c r="M48" s="61">
        <f t="shared" si="5"/>
        <v>11001384.470000001</v>
      </c>
      <c r="N48" s="61">
        <f t="shared" si="5"/>
        <v>0</v>
      </c>
      <c r="O48" s="61">
        <f t="shared" si="5"/>
        <v>71585</v>
      </c>
      <c r="P48" s="61">
        <f t="shared" si="5"/>
        <v>0</v>
      </c>
      <c r="Q48" s="61">
        <f t="shared" si="5"/>
        <v>0</v>
      </c>
      <c r="R48" s="61">
        <f t="shared" si="5"/>
        <v>0</v>
      </c>
      <c r="S48" s="61">
        <f t="shared" si="5"/>
        <v>0</v>
      </c>
      <c r="T48" s="61">
        <f t="shared" si="5"/>
        <v>0</v>
      </c>
      <c r="U48" s="61">
        <f t="shared" si="5"/>
        <v>4887818.2</v>
      </c>
    </row>
    <row r="49" spans="1:21" x14ac:dyDescent="0.2"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21" x14ac:dyDescent="0.2">
      <c r="A50" s="354" t="s">
        <v>0</v>
      </c>
      <c r="B50" s="354" t="s">
        <v>1</v>
      </c>
      <c r="C50" s="360" t="s">
        <v>117</v>
      </c>
      <c r="D50" s="361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</row>
    <row r="51" spans="1:21" x14ac:dyDescent="0.2">
      <c r="A51" s="355"/>
      <c r="B51" s="355"/>
      <c r="C51" s="362" t="s">
        <v>694</v>
      </c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9"/>
    </row>
    <row r="52" spans="1:21" x14ac:dyDescent="0.2">
      <c r="A52" s="355"/>
      <c r="B52" s="355"/>
      <c r="C52" s="357" t="s">
        <v>81</v>
      </c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9"/>
    </row>
    <row r="53" spans="1:21" ht="66" customHeight="1" x14ac:dyDescent="0.2">
      <c r="A53" s="356"/>
      <c r="B53" s="356"/>
      <c r="C53" s="71" t="s">
        <v>311</v>
      </c>
      <c r="D53" s="71" t="s">
        <v>432</v>
      </c>
      <c r="E53" s="71" t="s">
        <v>466</v>
      </c>
      <c r="F53" s="71" t="s">
        <v>429</v>
      </c>
      <c r="G53" s="71" t="s">
        <v>465</v>
      </c>
      <c r="H53" s="71" t="s">
        <v>430</v>
      </c>
      <c r="I53" s="71" t="s">
        <v>446</v>
      </c>
      <c r="J53" s="71" t="s">
        <v>431</v>
      </c>
      <c r="K53" s="71" t="s">
        <v>461</v>
      </c>
      <c r="L53" s="71" t="s">
        <v>308</v>
      </c>
      <c r="M53" s="91" t="s">
        <v>716</v>
      </c>
      <c r="N53" s="91" t="s">
        <v>537</v>
      </c>
      <c r="O53" s="91" t="s">
        <v>717</v>
      </c>
      <c r="P53" s="71" t="s">
        <v>345</v>
      </c>
      <c r="Q53" s="186" t="s">
        <v>570</v>
      </c>
      <c r="R53" s="71" t="s">
        <v>350</v>
      </c>
      <c r="S53" s="71" t="s">
        <v>309</v>
      </c>
      <c r="T53" s="71" t="s">
        <v>310</v>
      </c>
      <c r="U53" s="91" t="s">
        <v>536</v>
      </c>
    </row>
    <row r="54" spans="1:21" x14ac:dyDescent="0.2">
      <c r="A54" s="2">
        <v>1</v>
      </c>
      <c r="B54" s="2">
        <v>2</v>
      </c>
      <c r="C54" s="71"/>
      <c r="D54" s="71">
        <v>3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</row>
    <row r="55" spans="1:21" ht="76.5" x14ac:dyDescent="0.2">
      <c r="A55" s="6" t="s">
        <v>238</v>
      </c>
      <c r="B55" s="266" t="s">
        <v>629</v>
      </c>
      <c r="C55" s="61">
        <v>0</v>
      </c>
      <c r="D55" s="61">
        <v>0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1">
        <v>0</v>
      </c>
      <c r="P55" s="61">
        <v>0</v>
      </c>
      <c r="Q55" s="61">
        <v>0</v>
      </c>
      <c r="R55" s="61">
        <v>0</v>
      </c>
      <c r="S55" s="61">
        <v>0</v>
      </c>
      <c r="T55" s="61">
        <v>0</v>
      </c>
      <c r="U55" s="61">
        <v>0</v>
      </c>
    </row>
    <row r="56" spans="1:21" ht="51" x14ac:dyDescent="0.2">
      <c r="A56" s="6" t="s">
        <v>239</v>
      </c>
      <c r="B56" s="266" t="s">
        <v>630</v>
      </c>
      <c r="C56" s="61">
        <v>0</v>
      </c>
      <c r="D56" s="61">
        <v>0</v>
      </c>
      <c r="E56" s="61">
        <v>0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0</v>
      </c>
      <c r="S56" s="61">
        <v>0</v>
      </c>
      <c r="T56" s="61">
        <v>0</v>
      </c>
      <c r="U56" s="61">
        <v>0</v>
      </c>
    </row>
    <row r="57" spans="1:21" ht="25.5" x14ac:dyDescent="0.2">
      <c r="A57" s="6" t="s">
        <v>240</v>
      </c>
      <c r="B57" s="266" t="s">
        <v>631</v>
      </c>
      <c r="C57" s="72">
        <f>SUM(D57:U57)</f>
        <v>21162057.850000001</v>
      </c>
      <c r="D57" s="72">
        <f>SUM(D58:D68)</f>
        <v>5635600</v>
      </c>
      <c r="E57" s="72">
        <f t="shared" ref="E57:U57" si="6">SUM(E58:E68)</f>
        <v>0</v>
      </c>
      <c r="F57" s="72">
        <f>SUM(F58:F68)</f>
        <v>1330645</v>
      </c>
      <c r="G57" s="72">
        <f>SUM(G58:G68)</f>
        <v>0</v>
      </c>
      <c r="H57" s="72">
        <f t="shared" si="6"/>
        <v>2799605</v>
      </c>
      <c r="I57" s="72">
        <f t="shared" si="6"/>
        <v>0</v>
      </c>
      <c r="J57" s="72">
        <f>SUM(J58:J68)</f>
        <v>209673</v>
      </c>
      <c r="K57" s="72">
        <f t="shared" si="6"/>
        <v>0</v>
      </c>
      <c r="L57" s="72">
        <f t="shared" si="6"/>
        <v>0</v>
      </c>
      <c r="M57" s="72">
        <f t="shared" si="6"/>
        <v>9618235.370000001</v>
      </c>
      <c r="N57" s="72">
        <f t="shared" si="6"/>
        <v>0</v>
      </c>
      <c r="O57" s="72">
        <f t="shared" si="6"/>
        <v>66811</v>
      </c>
      <c r="P57" s="72">
        <f t="shared" si="6"/>
        <v>0</v>
      </c>
      <c r="Q57" s="72">
        <f t="shared" si="6"/>
        <v>0</v>
      </c>
      <c r="R57" s="72">
        <f t="shared" si="6"/>
        <v>0</v>
      </c>
      <c r="S57" s="72">
        <f t="shared" si="6"/>
        <v>0</v>
      </c>
      <c r="T57" s="72">
        <f t="shared" si="6"/>
        <v>0</v>
      </c>
      <c r="U57" s="72">
        <f t="shared" si="6"/>
        <v>1501488.48</v>
      </c>
    </row>
    <row r="58" spans="1:21" ht="15" customHeight="1" x14ac:dyDescent="0.2">
      <c r="A58" s="6" t="s">
        <v>15</v>
      </c>
      <c r="B58" s="364" t="s">
        <v>632</v>
      </c>
      <c r="C58" s="352">
        <f>SUM(D58:U59)</f>
        <v>80000</v>
      </c>
      <c r="D58" s="366">
        <f>'3.13.2'!N8</f>
        <v>4000</v>
      </c>
      <c r="E58" s="363">
        <v>0</v>
      </c>
      <c r="F58" s="352">
        <f>'3.13.2'!N6</f>
        <v>24000</v>
      </c>
      <c r="G58" s="352">
        <f>'3.13.2'!O6</f>
        <v>0</v>
      </c>
      <c r="H58" s="352">
        <v>0</v>
      </c>
      <c r="I58" s="352">
        <v>0</v>
      </c>
      <c r="J58" s="352">
        <f>'3.13.2'!N7</f>
        <v>52000</v>
      </c>
      <c r="K58" s="363">
        <v>0</v>
      </c>
      <c r="L58" s="363"/>
      <c r="M58" s="352">
        <v>0</v>
      </c>
      <c r="N58" s="352">
        <v>0</v>
      </c>
      <c r="O58" s="352">
        <v>0</v>
      </c>
      <c r="P58" s="352">
        <v>0</v>
      </c>
      <c r="Q58" s="352">
        <v>0</v>
      </c>
      <c r="R58" s="352">
        <v>0</v>
      </c>
      <c r="S58" s="352">
        <v>0</v>
      </c>
      <c r="T58" s="352">
        <v>0</v>
      </c>
      <c r="U58" s="352">
        <v>0</v>
      </c>
    </row>
    <row r="59" spans="1:21" x14ac:dyDescent="0.2">
      <c r="A59" s="6" t="s">
        <v>241</v>
      </c>
      <c r="B59" s="365"/>
      <c r="C59" s="353"/>
      <c r="D59" s="366"/>
      <c r="E59" s="363"/>
      <c r="F59" s="353"/>
      <c r="G59" s="353"/>
      <c r="H59" s="353"/>
      <c r="I59" s="353"/>
      <c r="J59" s="353"/>
      <c r="K59" s="363"/>
      <c r="L59" s="363"/>
      <c r="M59" s="353"/>
      <c r="N59" s="353"/>
      <c r="O59" s="353"/>
      <c r="P59" s="353"/>
      <c r="Q59" s="353"/>
      <c r="R59" s="353"/>
      <c r="S59" s="353"/>
      <c r="T59" s="353"/>
      <c r="U59" s="353"/>
    </row>
    <row r="60" spans="1:21" x14ac:dyDescent="0.2">
      <c r="A60" s="6" t="s">
        <v>242</v>
      </c>
      <c r="B60" s="266" t="s">
        <v>633</v>
      </c>
      <c r="C60" s="72">
        <f>SUM(D60:U60)</f>
        <v>5000</v>
      </c>
      <c r="D60" s="72">
        <v>0</v>
      </c>
      <c r="E60" s="72">
        <v>0</v>
      </c>
      <c r="F60" s="72">
        <f>'3.13.3'!K10</f>
        <v>5000</v>
      </c>
      <c r="G60" s="72"/>
      <c r="H60" s="72">
        <v>0</v>
      </c>
      <c r="I60" s="72">
        <v>0</v>
      </c>
      <c r="J60" s="72">
        <v>0</v>
      </c>
      <c r="K60" s="72">
        <v>0</v>
      </c>
      <c r="L60" s="72">
        <v>0</v>
      </c>
      <c r="M60" s="72">
        <v>0</v>
      </c>
      <c r="N60" s="72">
        <v>0</v>
      </c>
      <c r="O60" s="72">
        <v>0</v>
      </c>
      <c r="P60" s="72">
        <v>0</v>
      </c>
      <c r="Q60" s="72">
        <v>0</v>
      </c>
      <c r="R60" s="72">
        <v>0</v>
      </c>
      <c r="S60" s="72">
        <v>0</v>
      </c>
      <c r="T60" s="72">
        <v>0</v>
      </c>
      <c r="U60" s="72">
        <v>0</v>
      </c>
    </row>
    <row r="61" spans="1:21" x14ac:dyDescent="0.2">
      <c r="A61" s="6" t="s">
        <v>243</v>
      </c>
      <c r="B61" s="266" t="s">
        <v>634</v>
      </c>
      <c r="C61" s="72">
        <f t="shared" ref="C61:C65" si="7">SUM(D61:U61)</f>
        <v>4423800</v>
      </c>
      <c r="D61" s="72">
        <f>'3.13.4'!K22</f>
        <v>4423800</v>
      </c>
      <c r="E61" s="72">
        <v>0</v>
      </c>
      <c r="F61" s="72">
        <v>0</v>
      </c>
      <c r="G61" s="72">
        <v>0</v>
      </c>
      <c r="H61" s="72">
        <v>0</v>
      </c>
      <c r="I61" s="72">
        <v>0</v>
      </c>
      <c r="J61" s="72">
        <v>0</v>
      </c>
      <c r="K61" s="72">
        <v>0</v>
      </c>
      <c r="L61" s="72">
        <v>0</v>
      </c>
      <c r="M61" s="72">
        <v>0</v>
      </c>
      <c r="N61" s="72">
        <v>0</v>
      </c>
      <c r="O61" s="72">
        <v>0</v>
      </c>
      <c r="P61" s="72">
        <v>0</v>
      </c>
      <c r="Q61" s="72">
        <v>0</v>
      </c>
      <c r="R61" s="72">
        <v>0</v>
      </c>
      <c r="S61" s="72">
        <v>0</v>
      </c>
      <c r="T61" s="72">
        <v>0</v>
      </c>
      <c r="U61" s="72">
        <v>0</v>
      </c>
    </row>
    <row r="62" spans="1:21" x14ac:dyDescent="0.2">
      <c r="A62" s="6" t="s">
        <v>244</v>
      </c>
      <c r="B62" s="266" t="s">
        <v>635</v>
      </c>
      <c r="C62" s="72">
        <f t="shared" si="7"/>
        <v>0</v>
      </c>
      <c r="D62" s="72">
        <v>0</v>
      </c>
      <c r="E62" s="72">
        <v>0</v>
      </c>
      <c r="F62" s="72">
        <v>0</v>
      </c>
      <c r="G62" s="72">
        <v>0</v>
      </c>
      <c r="H62" s="72">
        <v>0</v>
      </c>
      <c r="I62" s="72">
        <v>0</v>
      </c>
      <c r="J62" s="72">
        <v>0</v>
      </c>
      <c r="K62" s="72">
        <v>0</v>
      </c>
      <c r="L62" s="72">
        <v>0</v>
      </c>
      <c r="M62" s="72">
        <v>0</v>
      </c>
      <c r="N62" s="72">
        <v>0</v>
      </c>
      <c r="O62" s="72">
        <v>0</v>
      </c>
      <c r="P62" s="72">
        <v>0</v>
      </c>
      <c r="Q62" s="72">
        <v>0</v>
      </c>
      <c r="R62" s="72">
        <v>0</v>
      </c>
      <c r="S62" s="72">
        <v>0</v>
      </c>
      <c r="T62" s="72">
        <v>0</v>
      </c>
      <c r="U62" s="72">
        <v>0</v>
      </c>
    </row>
    <row r="63" spans="1:21" x14ac:dyDescent="0.2">
      <c r="A63" s="6" t="s">
        <v>245</v>
      </c>
      <c r="B63" s="266" t="s">
        <v>636</v>
      </c>
      <c r="C63" s="72">
        <f t="shared" si="7"/>
        <v>3504890.96</v>
      </c>
      <c r="D63" s="72">
        <f>'3.13.6'!K25</f>
        <v>655810.96000000008</v>
      </c>
      <c r="E63" s="72">
        <v>0</v>
      </c>
      <c r="F63" s="72">
        <f>'3.13.6'!K35</f>
        <v>170000</v>
      </c>
      <c r="G63" s="72">
        <f>'3.13.6'!L35</f>
        <v>0</v>
      </c>
      <c r="H63" s="72">
        <v>0</v>
      </c>
      <c r="I63" s="72">
        <v>0</v>
      </c>
      <c r="J63" s="72">
        <f>'3.13.6'!K43</f>
        <v>20000</v>
      </c>
      <c r="K63" s="72">
        <v>0</v>
      </c>
      <c r="L63" s="72"/>
      <c r="M63" s="72">
        <f>'3.13.6'!K61</f>
        <v>2632000</v>
      </c>
      <c r="N63" s="72">
        <v>0</v>
      </c>
      <c r="O63" s="72">
        <f>'3.13.6'!K87</f>
        <v>27080</v>
      </c>
      <c r="P63" s="72">
        <v>0</v>
      </c>
      <c r="Q63" s="72">
        <f>'3.13.6'!I118</f>
        <v>0</v>
      </c>
      <c r="R63" s="72">
        <f>'3.13.6'!I100</f>
        <v>0</v>
      </c>
      <c r="S63" s="72">
        <f>'3.13.6'!I110</f>
        <v>0</v>
      </c>
      <c r="T63" s="72">
        <v>0</v>
      </c>
      <c r="U63" s="72">
        <v>0</v>
      </c>
    </row>
    <row r="64" spans="1:21" x14ac:dyDescent="0.2">
      <c r="A64" s="6" t="s">
        <v>246</v>
      </c>
      <c r="B64" s="266" t="s">
        <v>637</v>
      </c>
      <c r="C64" s="72">
        <f t="shared" si="7"/>
        <v>0</v>
      </c>
      <c r="D64" s="72">
        <v>0</v>
      </c>
      <c r="E64" s="72">
        <v>0</v>
      </c>
      <c r="F64" s="72">
        <v>0</v>
      </c>
      <c r="G64" s="72">
        <v>0</v>
      </c>
      <c r="H64" s="72">
        <v>0</v>
      </c>
      <c r="I64" s="72">
        <v>0</v>
      </c>
      <c r="J64" s="72">
        <v>0</v>
      </c>
      <c r="K64" s="72">
        <v>0</v>
      </c>
      <c r="L64" s="72">
        <v>0</v>
      </c>
      <c r="M64" s="72">
        <v>0</v>
      </c>
      <c r="N64" s="72">
        <v>0</v>
      </c>
      <c r="O64" s="72">
        <v>0</v>
      </c>
      <c r="P64" s="72">
        <v>0</v>
      </c>
      <c r="Q64" s="72">
        <v>0</v>
      </c>
      <c r="R64" s="72">
        <v>0</v>
      </c>
      <c r="S64" s="72">
        <v>0</v>
      </c>
      <c r="T64" s="72">
        <v>0</v>
      </c>
      <c r="U64" s="72">
        <v>0</v>
      </c>
    </row>
    <row r="65" spans="1:21" ht="25.5" x14ac:dyDescent="0.2">
      <c r="A65" s="6" t="s">
        <v>247</v>
      </c>
      <c r="B65" s="266" t="s">
        <v>638</v>
      </c>
      <c r="C65" s="72">
        <f t="shared" si="7"/>
        <v>30000</v>
      </c>
      <c r="D65" s="72">
        <v>0</v>
      </c>
      <c r="E65" s="72">
        <v>0</v>
      </c>
      <c r="F65" s="72">
        <f>'3.13.8'!K8</f>
        <v>20000</v>
      </c>
      <c r="G65" s="72">
        <v>0</v>
      </c>
      <c r="H65" s="72">
        <v>0</v>
      </c>
      <c r="I65" s="72">
        <v>0</v>
      </c>
      <c r="J65" s="72">
        <f>'3.13.8'!K7</f>
        <v>10000</v>
      </c>
      <c r="K65" s="72">
        <v>0</v>
      </c>
      <c r="L65" s="72"/>
      <c r="M65" s="72">
        <v>0</v>
      </c>
      <c r="N65" s="72">
        <v>0</v>
      </c>
      <c r="O65" s="72">
        <v>0</v>
      </c>
      <c r="P65" s="72">
        <v>0</v>
      </c>
      <c r="Q65" s="72">
        <v>0</v>
      </c>
      <c r="R65" s="72">
        <v>0</v>
      </c>
      <c r="S65" s="72">
        <v>0</v>
      </c>
      <c r="T65" s="72">
        <v>0</v>
      </c>
      <c r="U65" s="72">
        <v>0</v>
      </c>
    </row>
    <row r="66" spans="1:21" ht="63.75" x14ac:dyDescent="0.2">
      <c r="A66" s="90" t="s">
        <v>628</v>
      </c>
      <c r="B66" s="266" t="s">
        <v>639</v>
      </c>
      <c r="C66" s="72">
        <f>D66+F66+H66+I66+J66+M66+N66+O66+P66+Q66+R66+S66+T66+U66</f>
        <v>9259040.8499999996</v>
      </c>
      <c r="D66" s="72">
        <f>'3.13.9'!H26</f>
        <v>340200</v>
      </c>
      <c r="E66" s="72">
        <v>0</v>
      </c>
      <c r="F66" s="72">
        <f>'3.13.9'!H47</f>
        <v>351000</v>
      </c>
      <c r="G66" s="72">
        <f>'3.13.9'!I47</f>
        <v>0</v>
      </c>
      <c r="H66" s="72">
        <v>0</v>
      </c>
      <c r="I66" s="72">
        <v>0</v>
      </c>
      <c r="J66" s="72">
        <f>'3.13.9'!H59</f>
        <v>78000</v>
      </c>
      <c r="K66" s="72">
        <f>'3.13.9'!F130</f>
        <v>0</v>
      </c>
      <c r="L66" s="72">
        <f>'3.13.9'!F139</f>
        <v>0</v>
      </c>
      <c r="M66" s="72">
        <f>'3.13.9'!H90+'3.13.9'!H91+'3.13.9'!H92</f>
        <v>6986235.3700000001</v>
      </c>
      <c r="N66" s="72">
        <v>0</v>
      </c>
      <c r="O66" s="72">
        <f>'3.13.9'!H127+'3.13.9'!H94</f>
        <v>2117</v>
      </c>
      <c r="P66" s="72">
        <f>'3.13.9'!F166</f>
        <v>0</v>
      </c>
      <c r="Q66" s="72">
        <v>0</v>
      </c>
      <c r="R66" s="72">
        <v>0</v>
      </c>
      <c r="S66" s="72">
        <f>'3.13.9'!F157</f>
        <v>0</v>
      </c>
      <c r="T66" s="72">
        <v>0</v>
      </c>
      <c r="U66" s="72">
        <f>'3.13.9'!H93</f>
        <v>1501488.48</v>
      </c>
    </row>
    <row r="67" spans="1:21" ht="25.5" x14ac:dyDescent="0.2">
      <c r="A67" s="6" t="s">
        <v>248</v>
      </c>
      <c r="B67" s="266" t="s">
        <v>640</v>
      </c>
      <c r="C67" s="72">
        <f>SUM(D67:U67)</f>
        <v>2799605</v>
      </c>
      <c r="D67" s="72">
        <v>0</v>
      </c>
      <c r="E67" s="72">
        <v>0</v>
      </c>
      <c r="F67" s="72">
        <v>0</v>
      </c>
      <c r="G67" s="72">
        <v>0</v>
      </c>
      <c r="H67" s="72">
        <f>'3.13.10'!K14</f>
        <v>2799605</v>
      </c>
      <c r="I67" s="72">
        <v>0</v>
      </c>
      <c r="J67" s="72">
        <v>0</v>
      </c>
      <c r="K67" s="72">
        <v>0</v>
      </c>
      <c r="L67" s="72"/>
      <c r="M67" s="72">
        <v>0</v>
      </c>
      <c r="N67" s="72">
        <f>'3.13.10'!K72</f>
        <v>0</v>
      </c>
      <c r="O67" s="72">
        <v>0</v>
      </c>
      <c r="P67" s="72">
        <v>0</v>
      </c>
      <c r="Q67" s="72">
        <v>0</v>
      </c>
      <c r="R67" s="72">
        <v>0</v>
      </c>
      <c r="S67" s="72">
        <f>'3.13.10'!I101</f>
        <v>0</v>
      </c>
      <c r="T67" s="72">
        <v>0</v>
      </c>
      <c r="U67" s="72">
        <f>'3.13.10'!K73</f>
        <v>0</v>
      </c>
    </row>
    <row r="68" spans="1:21" x14ac:dyDescent="0.2">
      <c r="A68" s="6" t="s">
        <v>249</v>
      </c>
      <c r="B68" s="266" t="s">
        <v>641</v>
      </c>
      <c r="C68" s="72">
        <f>SUM(D68:U68)</f>
        <v>1059721.04</v>
      </c>
      <c r="D68" s="72">
        <f>'3.13.11'!K12</f>
        <v>211789.03999999998</v>
      </c>
      <c r="E68" s="72">
        <v>0</v>
      </c>
      <c r="F68" s="72">
        <f>'3.13.11'!K49</f>
        <v>760645</v>
      </c>
      <c r="G68" s="72">
        <f>'3.13.11'!L49</f>
        <v>0</v>
      </c>
      <c r="H68" s="72">
        <v>0</v>
      </c>
      <c r="I68" s="72">
        <v>0</v>
      </c>
      <c r="J68" s="72">
        <f>'3.13.11'!K32</f>
        <v>49673</v>
      </c>
      <c r="K68" s="72">
        <v>0</v>
      </c>
      <c r="L68" s="72" t="str">
        <f>'3.13.11'!I136</f>
        <v>на 2024 г.</v>
      </c>
      <c r="M68" s="72">
        <v>0</v>
      </c>
      <c r="N68" s="72">
        <v>0</v>
      </c>
      <c r="O68" s="72">
        <f>'3.13.11'!K97</f>
        <v>37614</v>
      </c>
      <c r="P68" s="72">
        <f>'3.13.11'!K116</f>
        <v>0</v>
      </c>
      <c r="Q68" s="72">
        <v>0</v>
      </c>
      <c r="R68" s="72">
        <f>'3.13.11'!I173</f>
        <v>0</v>
      </c>
      <c r="S68" s="72">
        <v>0</v>
      </c>
      <c r="T68" s="72">
        <v>0</v>
      </c>
      <c r="U68" s="72">
        <v>0</v>
      </c>
    </row>
    <row r="69" spans="1:21" ht="76.5" x14ac:dyDescent="0.2">
      <c r="A69" s="6" t="s">
        <v>250</v>
      </c>
      <c r="B69" s="266" t="s">
        <v>642</v>
      </c>
      <c r="C69" s="61">
        <v>0</v>
      </c>
      <c r="D69" s="61">
        <v>0</v>
      </c>
      <c r="E69" s="61">
        <v>0</v>
      </c>
      <c r="F69" s="61">
        <v>0</v>
      </c>
      <c r="G69" s="61">
        <v>0</v>
      </c>
      <c r="H69" s="61">
        <v>0</v>
      </c>
      <c r="I69" s="61">
        <v>0</v>
      </c>
      <c r="J69" s="61">
        <v>0</v>
      </c>
      <c r="K69" s="61">
        <v>0</v>
      </c>
      <c r="L69" s="61">
        <v>0</v>
      </c>
      <c r="M69" s="61">
        <v>0</v>
      </c>
      <c r="N69" s="61">
        <v>0</v>
      </c>
      <c r="O69" s="61">
        <v>0</v>
      </c>
      <c r="P69" s="61">
        <v>0</v>
      </c>
      <c r="Q69" s="61">
        <v>0</v>
      </c>
      <c r="R69" s="61">
        <v>0</v>
      </c>
      <c r="S69" s="61">
        <v>0</v>
      </c>
      <c r="T69" s="61">
        <v>0</v>
      </c>
      <c r="U69" s="61">
        <v>0</v>
      </c>
    </row>
    <row r="70" spans="1:21" ht="51" x14ac:dyDescent="0.2">
      <c r="A70" s="6" t="s">
        <v>251</v>
      </c>
      <c r="B70" s="266" t="s">
        <v>643</v>
      </c>
      <c r="C70" s="60">
        <v>0</v>
      </c>
      <c r="D70" s="60">
        <v>0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J70" s="60">
        <v>0</v>
      </c>
      <c r="K70" s="60">
        <v>0</v>
      </c>
      <c r="L70" s="60">
        <v>0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0">
        <v>0</v>
      </c>
      <c r="S70" s="60">
        <v>0</v>
      </c>
      <c r="T70" s="60">
        <v>0</v>
      </c>
      <c r="U70" s="60">
        <v>0</v>
      </c>
    </row>
    <row r="71" spans="1:21" ht="38.25" x14ac:dyDescent="0.2">
      <c r="A71" s="6" t="s">
        <v>252</v>
      </c>
      <c r="B71" s="266" t="s">
        <v>644</v>
      </c>
      <c r="C71" s="60">
        <f>C57</f>
        <v>21162057.850000001</v>
      </c>
      <c r="D71" s="60">
        <f t="shared" ref="D71:U71" si="8">D57</f>
        <v>5635600</v>
      </c>
      <c r="E71" s="60">
        <f t="shared" si="8"/>
        <v>0</v>
      </c>
      <c r="F71" s="60">
        <f t="shared" si="8"/>
        <v>1330645</v>
      </c>
      <c r="G71" s="60">
        <f t="shared" si="8"/>
        <v>0</v>
      </c>
      <c r="H71" s="60">
        <f t="shared" si="8"/>
        <v>2799605</v>
      </c>
      <c r="I71" s="60">
        <f t="shared" si="8"/>
        <v>0</v>
      </c>
      <c r="J71" s="60">
        <f t="shared" si="8"/>
        <v>209673</v>
      </c>
      <c r="K71" s="60">
        <f t="shared" si="8"/>
        <v>0</v>
      </c>
      <c r="L71" s="60">
        <f t="shared" si="8"/>
        <v>0</v>
      </c>
      <c r="M71" s="60">
        <f t="shared" si="8"/>
        <v>9618235.370000001</v>
      </c>
      <c r="N71" s="60">
        <f t="shared" si="8"/>
        <v>0</v>
      </c>
      <c r="O71" s="60">
        <f t="shared" si="8"/>
        <v>66811</v>
      </c>
      <c r="P71" s="60">
        <f t="shared" si="8"/>
        <v>0</v>
      </c>
      <c r="Q71" s="60">
        <f t="shared" si="8"/>
        <v>0</v>
      </c>
      <c r="R71" s="60">
        <f t="shared" si="8"/>
        <v>0</v>
      </c>
      <c r="S71" s="60">
        <f t="shared" si="8"/>
        <v>0</v>
      </c>
      <c r="T71" s="60">
        <f t="shared" si="8"/>
        <v>0</v>
      </c>
      <c r="U71" s="60">
        <f t="shared" si="8"/>
        <v>1501488.48</v>
      </c>
    </row>
  </sheetData>
  <mergeCells count="77">
    <mergeCell ref="Q58:Q59"/>
    <mergeCell ref="R58:R59"/>
    <mergeCell ref="S58:S59"/>
    <mergeCell ref="U58:U59"/>
    <mergeCell ref="B12:B13"/>
    <mergeCell ref="C12:C13"/>
    <mergeCell ref="E12:E13"/>
    <mergeCell ref="H12:H13"/>
    <mergeCell ref="I12:I13"/>
    <mergeCell ref="O35:O36"/>
    <mergeCell ref="L35:L36"/>
    <mergeCell ref="M35:M36"/>
    <mergeCell ref="P35:P36"/>
    <mergeCell ref="O58:O59"/>
    <mergeCell ref="T58:T59"/>
    <mergeCell ref="R35:R36"/>
    <mergeCell ref="P58:P59"/>
    <mergeCell ref="D12:D13"/>
    <mergeCell ref="E35:E36"/>
    <mergeCell ref="F35:F36"/>
    <mergeCell ref="D35:D36"/>
    <mergeCell ref="N58:N59"/>
    <mergeCell ref="D58:D59"/>
    <mergeCell ref="G58:G59"/>
    <mergeCell ref="K58:K59"/>
    <mergeCell ref="L58:L59"/>
    <mergeCell ref="M58:M59"/>
    <mergeCell ref="H58:H59"/>
    <mergeCell ref="I58:I59"/>
    <mergeCell ref="J58:J59"/>
    <mergeCell ref="K12:K13"/>
    <mergeCell ref="F12:F13"/>
    <mergeCell ref="C35:C36"/>
    <mergeCell ref="B35:B36"/>
    <mergeCell ref="G35:G36"/>
    <mergeCell ref="B58:B59"/>
    <mergeCell ref="C58:C59"/>
    <mergeCell ref="E58:E59"/>
    <mergeCell ref="F58:F59"/>
    <mergeCell ref="A50:A53"/>
    <mergeCell ref="B50:B53"/>
    <mergeCell ref="C50:U50"/>
    <mergeCell ref="C51:U51"/>
    <mergeCell ref="C52:U52"/>
    <mergeCell ref="U35:U36"/>
    <mergeCell ref="G12:G13"/>
    <mergeCell ref="S12:S13"/>
    <mergeCell ref="T12:T13"/>
    <mergeCell ref="L12:L13"/>
    <mergeCell ref="S35:S36"/>
    <mergeCell ref="T35:T36"/>
    <mergeCell ref="I35:I36"/>
    <mergeCell ref="H35:H36"/>
    <mergeCell ref="Q35:Q36"/>
    <mergeCell ref="J35:J36"/>
    <mergeCell ref="K35:K36"/>
    <mergeCell ref="M12:M13"/>
    <mergeCell ref="N12:N13"/>
    <mergeCell ref="R12:R13"/>
    <mergeCell ref="U12:U13"/>
    <mergeCell ref="A27:A30"/>
    <mergeCell ref="B27:B30"/>
    <mergeCell ref="C27:U27"/>
    <mergeCell ref="C28:U28"/>
    <mergeCell ref="C29:U29"/>
    <mergeCell ref="A1:U1"/>
    <mergeCell ref="A3:U3"/>
    <mergeCell ref="A4:A7"/>
    <mergeCell ref="B4:B7"/>
    <mergeCell ref="C6:U6"/>
    <mergeCell ref="C4:U4"/>
    <mergeCell ref="C5:U5"/>
    <mergeCell ref="N35:N36"/>
    <mergeCell ref="J12:J13"/>
    <mergeCell ref="O12:O13"/>
    <mergeCell ref="P12:P13"/>
    <mergeCell ref="Q12:Q13"/>
  </mergeCells>
  <phoneticPr fontId="12" type="noConversion"/>
  <pageMargins left="0.39370078740157483" right="0.39370078740157483" top="0.39370078740157483" bottom="0.39370078740157483" header="0.31496062992125984" footer="0.31496062992125984"/>
  <pageSetup paperSize="9" scale="75" fitToHeight="0" orientation="landscape" r:id="rId1"/>
  <rowBreaks count="2" manualBreakCount="2">
    <brk id="25" max="20" man="1"/>
    <brk id="48" max="16383" man="1"/>
  </rowBreaks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zoomScaleNormal="100" workbookViewId="0">
      <selection activeCell="I8" sqref="I8"/>
    </sheetView>
  </sheetViews>
  <sheetFormatPr defaultRowHeight="12.75" x14ac:dyDescent="0.2"/>
  <cols>
    <col min="1" max="1" width="16" style="3" customWidth="1"/>
    <col min="2" max="2" width="9.140625" style="3"/>
    <col min="3" max="14" width="13.85546875" style="3" customWidth="1"/>
    <col min="15" max="16384" width="9.140625" style="3"/>
  </cols>
  <sheetData>
    <row r="1" spans="1:14" x14ac:dyDescent="0.2">
      <c r="A1" s="3" t="s">
        <v>258</v>
      </c>
    </row>
    <row r="2" spans="1:14" ht="33" customHeight="1" x14ac:dyDescent="0.2">
      <c r="A2" s="335" t="s">
        <v>219</v>
      </c>
      <c r="B2" s="335" t="s">
        <v>1</v>
      </c>
      <c r="C2" s="335" t="s">
        <v>255</v>
      </c>
      <c r="D2" s="335"/>
      <c r="E2" s="335"/>
      <c r="F2" s="335" t="s">
        <v>256</v>
      </c>
      <c r="G2" s="335"/>
      <c r="H2" s="335"/>
      <c r="I2" s="335" t="s">
        <v>257</v>
      </c>
      <c r="J2" s="335"/>
      <c r="K2" s="335"/>
      <c r="L2" s="335" t="s">
        <v>117</v>
      </c>
      <c r="M2" s="335"/>
      <c r="N2" s="335"/>
    </row>
    <row r="3" spans="1:14" x14ac:dyDescent="0.2">
      <c r="A3" s="335"/>
      <c r="B3" s="335"/>
      <c r="C3" s="290" t="s">
        <v>582</v>
      </c>
      <c r="D3" s="290" t="s">
        <v>614</v>
      </c>
      <c r="E3" s="290" t="s">
        <v>694</v>
      </c>
      <c r="F3" s="290" t="s">
        <v>582</v>
      </c>
      <c r="G3" s="290" t="s">
        <v>614</v>
      </c>
      <c r="H3" s="290" t="s">
        <v>694</v>
      </c>
      <c r="I3" s="290" t="s">
        <v>582</v>
      </c>
      <c r="J3" s="290" t="s">
        <v>614</v>
      </c>
      <c r="K3" s="290" t="s">
        <v>694</v>
      </c>
      <c r="L3" s="290" t="s">
        <v>582</v>
      </c>
      <c r="M3" s="290" t="s">
        <v>614</v>
      </c>
      <c r="N3" s="290" t="s">
        <v>694</v>
      </c>
    </row>
    <row r="4" spans="1:14" ht="38.25" x14ac:dyDescent="0.2">
      <c r="A4" s="335"/>
      <c r="B4" s="335"/>
      <c r="C4" s="2" t="s">
        <v>79</v>
      </c>
      <c r="D4" s="2" t="s">
        <v>80</v>
      </c>
      <c r="E4" s="2" t="s">
        <v>81</v>
      </c>
      <c r="F4" s="2" t="s">
        <v>79</v>
      </c>
      <c r="G4" s="2" t="s">
        <v>80</v>
      </c>
      <c r="H4" s="2" t="s">
        <v>81</v>
      </c>
      <c r="I4" s="2" t="s">
        <v>79</v>
      </c>
      <c r="J4" s="2" t="s">
        <v>80</v>
      </c>
      <c r="K4" s="2" t="s">
        <v>81</v>
      </c>
      <c r="L4" s="2" t="s">
        <v>79</v>
      </c>
      <c r="M4" s="2" t="s">
        <v>80</v>
      </c>
      <c r="N4" s="2" t="s">
        <v>81</v>
      </c>
    </row>
    <row r="5" spans="1:14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</row>
    <row r="6" spans="1:14" ht="63.75" x14ac:dyDescent="0.2">
      <c r="A6" s="6" t="s">
        <v>435</v>
      </c>
      <c r="B6" s="281" t="s">
        <v>645</v>
      </c>
      <c r="C6" s="6">
        <v>1</v>
      </c>
      <c r="D6" s="6">
        <v>1</v>
      </c>
      <c r="E6" s="6">
        <v>1</v>
      </c>
      <c r="F6" s="6">
        <v>12</v>
      </c>
      <c r="G6" s="6">
        <v>12</v>
      </c>
      <c r="H6" s="6">
        <v>12</v>
      </c>
      <c r="I6" s="176">
        <v>0</v>
      </c>
      <c r="J6" s="176">
        <v>0</v>
      </c>
      <c r="K6" s="176">
        <v>0</v>
      </c>
      <c r="L6" s="5">
        <v>24000</v>
      </c>
      <c r="M6" s="5">
        <v>24000</v>
      </c>
      <c r="N6" s="5">
        <v>24000</v>
      </c>
    </row>
    <row r="7" spans="1:14" ht="38.25" x14ac:dyDescent="0.2">
      <c r="A7" s="6" t="s">
        <v>433</v>
      </c>
      <c r="B7" s="266" t="s">
        <v>646</v>
      </c>
      <c r="C7" s="6">
        <v>1</v>
      </c>
      <c r="D7" s="6">
        <v>1</v>
      </c>
      <c r="E7" s="6">
        <v>1</v>
      </c>
      <c r="F7" s="6">
        <v>12</v>
      </c>
      <c r="G7" s="6">
        <v>12</v>
      </c>
      <c r="H7" s="6">
        <v>12</v>
      </c>
      <c r="I7" s="63">
        <f>L7/F7</f>
        <v>4333.333333333333</v>
      </c>
      <c r="J7" s="6">
        <v>4166.67</v>
      </c>
      <c r="K7" s="6">
        <v>4166.67</v>
      </c>
      <c r="L7" s="5">
        <v>52000</v>
      </c>
      <c r="M7" s="5">
        <v>52000</v>
      </c>
      <c r="N7" s="5">
        <v>52000</v>
      </c>
    </row>
    <row r="8" spans="1:14" ht="51" x14ac:dyDescent="0.2">
      <c r="A8" s="6" t="s">
        <v>434</v>
      </c>
      <c r="B8" s="266" t="s">
        <v>647</v>
      </c>
      <c r="C8" s="6">
        <v>16</v>
      </c>
      <c r="D8" s="6">
        <v>16</v>
      </c>
      <c r="E8" s="6">
        <v>16</v>
      </c>
      <c r="F8" s="6">
        <v>12</v>
      </c>
      <c r="G8" s="6">
        <v>12</v>
      </c>
      <c r="H8" s="6">
        <v>12</v>
      </c>
      <c r="I8" s="38">
        <f>L8/F8</f>
        <v>333.33333333333331</v>
      </c>
      <c r="J8" s="6">
        <v>416.67</v>
      </c>
      <c r="K8" s="6">
        <v>416.67</v>
      </c>
      <c r="L8" s="5">
        <v>4000</v>
      </c>
      <c r="M8" s="5">
        <v>4000</v>
      </c>
      <c r="N8" s="5">
        <v>4000</v>
      </c>
    </row>
    <row r="9" spans="1:14" x14ac:dyDescent="0.2">
      <c r="A9" s="6" t="s">
        <v>137</v>
      </c>
      <c r="B9" s="2">
        <v>9000</v>
      </c>
      <c r="C9" s="2" t="s">
        <v>12</v>
      </c>
      <c r="D9" s="2" t="s">
        <v>12</v>
      </c>
      <c r="E9" s="2" t="s">
        <v>12</v>
      </c>
      <c r="F9" s="2" t="s">
        <v>12</v>
      </c>
      <c r="G9" s="2" t="s">
        <v>12</v>
      </c>
      <c r="H9" s="2" t="s">
        <v>12</v>
      </c>
      <c r="I9" s="2" t="s">
        <v>12</v>
      </c>
      <c r="J9" s="2" t="s">
        <v>12</v>
      </c>
      <c r="K9" s="2" t="s">
        <v>12</v>
      </c>
      <c r="L9" s="70">
        <f>SUM(L6:L8)</f>
        <v>80000</v>
      </c>
      <c r="M9" s="70">
        <f>SUM(M6:M8)</f>
        <v>80000</v>
      </c>
      <c r="N9" s="70">
        <f>SUM(N6:N8)</f>
        <v>80000</v>
      </c>
    </row>
  </sheetData>
  <mergeCells count="6">
    <mergeCell ref="L2:N2"/>
    <mergeCell ref="A2:A4"/>
    <mergeCell ref="B2:B4"/>
    <mergeCell ref="C2:E2"/>
    <mergeCell ref="F2:H2"/>
    <mergeCell ref="I2:K2"/>
  </mergeCells>
  <phoneticPr fontId="12" type="noConversion"/>
  <pageMargins left="0.7" right="0.7" top="0.75" bottom="0.75" header="0.3" footer="0.3"/>
  <pageSetup paperSize="9" scale="6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Normal="100" workbookViewId="0">
      <selection activeCell="B10" sqref="B10"/>
    </sheetView>
  </sheetViews>
  <sheetFormatPr defaultRowHeight="12.75" x14ac:dyDescent="0.2"/>
  <cols>
    <col min="1" max="1" width="16.5703125" style="3" customWidth="1"/>
    <col min="2" max="2" width="9.140625" style="3"/>
    <col min="3" max="11" width="15.7109375" style="3" customWidth="1"/>
    <col min="12" max="16384" width="9.140625" style="3"/>
  </cols>
  <sheetData>
    <row r="1" spans="1:12" x14ac:dyDescent="0.2">
      <c r="A1" s="3" t="s">
        <v>261</v>
      </c>
    </row>
    <row r="2" spans="1:12" ht="33" customHeight="1" x14ac:dyDescent="0.2">
      <c r="A2" s="335" t="s">
        <v>219</v>
      </c>
      <c r="B2" s="335" t="s">
        <v>1</v>
      </c>
      <c r="C2" s="335" t="s">
        <v>259</v>
      </c>
      <c r="D2" s="335"/>
      <c r="E2" s="335"/>
      <c r="F2" s="335" t="s">
        <v>260</v>
      </c>
      <c r="G2" s="335"/>
      <c r="H2" s="335"/>
      <c r="I2" s="335" t="s">
        <v>117</v>
      </c>
      <c r="J2" s="335"/>
      <c r="K2" s="335"/>
    </row>
    <row r="3" spans="1:12" x14ac:dyDescent="0.2">
      <c r="A3" s="335"/>
      <c r="B3" s="335"/>
      <c r="C3" s="290" t="s">
        <v>582</v>
      </c>
      <c r="D3" s="290" t="s">
        <v>614</v>
      </c>
      <c r="E3" s="290" t="s">
        <v>694</v>
      </c>
      <c r="F3" s="290" t="s">
        <v>582</v>
      </c>
      <c r="G3" s="290" t="s">
        <v>614</v>
      </c>
      <c r="H3" s="290" t="s">
        <v>694</v>
      </c>
      <c r="I3" s="290" t="s">
        <v>582</v>
      </c>
      <c r="J3" s="290" t="s">
        <v>614</v>
      </c>
      <c r="K3" s="290" t="s">
        <v>694</v>
      </c>
    </row>
    <row r="4" spans="1:12" ht="38.25" x14ac:dyDescent="0.2">
      <c r="A4" s="335"/>
      <c r="B4" s="335"/>
      <c r="C4" s="2" t="s">
        <v>79</v>
      </c>
      <c r="D4" s="2" t="s">
        <v>80</v>
      </c>
      <c r="E4" s="2" t="s">
        <v>81</v>
      </c>
      <c r="F4" s="2" t="s">
        <v>79</v>
      </c>
      <c r="G4" s="2" t="s">
        <v>80</v>
      </c>
      <c r="H4" s="2" t="s">
        <v>81</v>
      </c>
      <c r="I4" s="2" t="s">
        <v>79</v>
      </c>
      <c r="J4" s="2" t="s">
        <v>80</v>
      </c>
      <c r="K4" s="2" t="s">
        <v>81</v>
      </c>
    </row>
    <row r="5" spans="1:12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2" ht="76.5" hidden="1" x14ac:dyDescent="0.2">
      <c r="A6" s="90" t="s">
        <v>514</v>
      </c>
      <c r="B6" s="266" t="s">
        <v>645</v>
      </c>
      <c r="C6" s="118">
        <v>0</v>
      </c>
      <c r="D6" s="118">
        <v>0</v>
      </c>
      <c r="E6" s="118">
        <v>0</v>
      </c>
      <c r="F6" s="231">
        <v>0</v>
      </c>
      <c r="G6" s="118">
        <v>0</v>
      </c>
      <c r="H6" s="118">
        <v>0</v>
      </c>
      <c r="I6" s="231">
        <v>0</v>
      </c>
      <c r="J6" s="231">
        <v>0</v>
      </c>
      <c r="K6" s="231">
        <v>0</v>
      </c>
    </row>
    <row r="7" spans="1:12" ht="76.5" x14ac:dyDescent="0.2">
      <c r="A7" s="90" t="s">
        <v>436</v>
      </c>
      <c r="B7" s="266" t="s">
        <v>645</v>
      </c>
      <c r="C7" s="6">
        <v>4</v>
      </c>
      <c r="D7" s="6">
        <v>4</v>
      </c>
      <c r="E7" s="6">
        <v>4</v>
      </c>
      <c r="F7" s="176">
        <f>I7/C7</f>
        <v>1250</v>
      </c>
      <c r="G7" s="63">
        <v>1250</v>
      </c>
      <c r="H7" s="63">
        <v>1250</v>
      </c>
      <c r="I7" s="180">
        <v>5000</v>
      </c>
      <c r="J7" s="35">
        <v>5000</v>
      </c>
      <c r="K7" s="35">
        <v>5000</v>
      </c>
    </row>
    <row r="8" spans="1:12" ht="63.75" hidden="1" x14ac:dyDescent="0.2">
      <c r="A8" s="6" t="s">
        <v>459</v>
      </c>
      <c r="B8" s="2">
        <v>1</v>
      </c>
      <c r="C8" s="6">
        <v>1</v>
      </c>
      <c r="D8" s="6">
        <v>0</v>
      </c>
      <c r="E8" s="6">
        <v>0</v>
      </c>
      <c r="F8" s="62"/>
      <c r="G8" s="6">
        <v>0</v>
      </c>
      <c r="H8" s="6">
        <v>0</v>
      </c>
      <c r="I8" s="35"/>
      <c r="J8" s="123">
        <v>0</v>
      </c>
      <c r="K8" s="123">
        <v>0</v>
      </c>
    </row>
    <row r="9" spans="1:12" ht="63.75" hidden="1" x14ac:dyDescent="0.2">
      <c r="A9" s="90" t="s">
        <v>543</v>
      </c>
      <c r="B9" s="149"/>
      <c r="C9" s="150">
        <v>0</v>
      </c>
      <c r="D9" s="150">
        <v>0</v>
      </c>
      <c r="E9" s="150">
        <v>0</v>
      </c>
      <c r="F9" s="193">
        <v>0</v>
      </c>
      <c r="G9" s="38">
        <v>0</v>
      </c>
      <c r="H9" s="38">
        <v>0</v>
      </c>
      <c r="I9" s="180">
        <v>0</v>
      </c>
      <c r="J9" s="180">
        <v>0</v>
      </c>
      <c r="K9" s="180">
        <v>0</v>
      </c>
    </row>
    <row r="10" spans="1:12" x14ac:dyDescent="0.2">
      <c r="A10" s="6" t="s">
        <v>137</v>
      </c>
      <c r="B10" s="2">
        <v>9000</v>
      </c>
      <c r="C10" s="2" t="s">
        <v>12</v>
      </c>
      <c r="D10" s="2" t="s">
        <v>12</v>
      </c>
      <c r="E10" s="2" t="s">
        <v>12</v>
      </c>
      <c r="F10" s="2" t="s">
        <v>12</v>
      </c>
      <c r="G10" s="2" t="s">
        <v>12</v>
      </c>
      <c r="H10" s="2" t="s">
        <v>12</v>
      </c>
      <c r="I10" s="70">
        <f>SUM(I7:I7)+I8+I6+I9</f>
        <v>5000</v>
      </c>
      <c r="J10" s="70">
        <f>SUM(J6:J7)</f>
        <v>5000</v>
      </c>
      <c r="K10" s="247">
        <f>SUM(K6:K7)</f>
        <v>5000</v>
      </c>
      <c r="L10" s="201"/>
    </row>
  </sheetData>
  <mergeCells count="5">
    <mergeCell ref="I2:K2"/>
    <mergeCell ref="A2:A4"/>
    <mergeCell ref="B2:B4"/>
    <mergeCell ref="C2:E2"/>
    <mergeCell ref="F2:H2"/>
  </mergeCells>
  <phoneticPr fontId="12" type="noConversion"/>
  <pageMargins left="0.7" right="0.7" top="0.75" bottom="0.75" header="0.3" footer="0.3"/>
  <pageSetup paperSize="9" scale="78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activeCell="C20" sqref="C20:E20"/>
    </sheetView>
  </sheetViews>
  <sheetFormatPr defaultRowHeight="12.75" x14ac:dyDescent="0.2"/>
  <cols>
    <col min="1" max="1" width="19.5703125" style="3" customWidth="1"/>
    <col min="2" max="2" width="9.140625" style="3"/>
    <col min="3" max="11" width="14.85546875" style="3" customWidth="1"/>
    <col min="12" max="12" width="12.5703125" style="3" bestFit="1" customWidth="1"/>
    <col min="13" max="14" width="10.42578125" style="3" bestFit="1" customWidth="1"/>
    <col min="15" max="16384" width="9.140625" style="3"/>
  </cols>
  <sheetData>
    <row r="1" spans="1:12" x14ac:dyDescent="0.2">
      <c r="A1" s="3" t="s">
        <v>264</v>
      </c>
    </row>
    <row r="2" spans="1:12" x14ac:dyDescent="0.2">
      <c r="A2" s="3" t="s">
        <v>432</v>
      </c>
    </row>
    <row r="3" spans="1:12" ht="33" customHeight="1" x14ac:dyDescent="0.2">
      <c r="A3" s="335" t="s">
        <v>219</v>
      </c>
      <c r="B3" s="335" t="s">
        <v>1</v>
      </c>
      <c r="C3" s="335" t="s">
        <v>262</v>
      </c>
      <c r="D3" s="335"/>
      <c r="E3" s="335"/>
      <c r="F3" s="335" t="s">
        <v>263</v>
      </c>
      <c r="G3" s="335"/>
      <c r="H3" s="335"/>
      <c r="I3" s="335" t="s">
        <v>117</v>
      </c>
      <c r="J3" s="335"/>
      <c r="K3" s="335"/>
    </row>
    <row r="4" spans="1:12" x14ac:dyDescent="0.2">
      <c r="A4" s="335"/>
      <c r="B4" s="335"/>
      <c r="C4" s="290" t="s">
        <v>582</v>
      </c>
      <c r="D4" s="290" t="s">
        <v>614</v>
      </c>
      <c r="E4" s="290" t="s">
        <v>694</v>
      </c>
      <c r="F4" s="290" t="s">
        <v>582</v>
      </c>
      <c r="G4" s="290" t="s">
        <v>614</v>
      </c>
      <c r="H4" s="290" t="s">
        <v>694</v>
      </c>
      <c r="I4" s="290" t="s">
        <v>582</v>
      </c>
      <c r="J4" s="290" t="s">
        <v>614</v>
      </c>
      <c r="K4" s="290" t="s">
        <v>694</v>
      </c>
    </row>
    <row r="5" spans="1:12" ht="38.25" x14ac:dyDescent="0.2">
      <c r="A5" s="335"/>
      <c r="B5" s="335"/>
      <c r="C5" s="2" t="s">
        <v>79</v>
      </c>
      <c r="D5" s="2" t="s">
        <v>80</v>
      </c>
      <c r="E5" s="2" t="s">
        <v>81</v>
      </c>
      <c r="F5" s="2" t="s">
        <v>79</v>
      </c>
      <c r="G5" s="2" t="s">
        <v>80</v>
      </c>
      <c r="H5" s="2" t="s">
        <v>81</v>
      </c>
      <c r="I5" s="2" t="s">
        <v>79</v>
      </c>
      <c r="J5" s="2" t="s">
        <v>80</v>
      </c>
      <c r="K5" s="2" t="s">
        <v>81</v>
      </c>
    </row>
    <row r="6" spans="1:12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2" ht="25.5" hidden="1" x14ac:dyDescent="0.2">
      <c r="A7" s="6" t="s">
        <v>302</v>
      </c>
      <c r="B7" s="2" t="e">
        <f>#REF!+1</f>
        <v>#REF!</v>
      </c>
      <c r="C7" s="38">
        <f t="shared" ref="C7:C12" si="0">I7/F7</f>
        <v>0</v>
      </c>
      <c r="D7" s="38">
        <f t="shared" ref="D7:E8" si="1">J7/G7</f>
        <v>0</v>
      </c>
      <c r="E7" s="38">
        <f t="shared" si="1"/>
        <v>0</v>
      </c>
      <c r="F7" s="6">
        <v>1643.4</v>
      </c>
      <c r="G7" s="6">
        <v>1643.4</v>
      </c>
      <c r="H7" s="6">
        <v>1643.4</v>
      </c>
      <c r="I7" s="5"/>
      <c r="J7" s="99">
        <f t="shared" ref="J7:K8" si="2">I7</f>
        <v>0</v>
      </c>
      <c r="K7" s="99">
        <f t="shared" si="2"/>
        <v>0</v>
      </c>
    </row>
    <row r="8" spans="1:12" ht="25.5" hidden="1" x14ac:dyDescent="0.2">
      <c r="A8" s="6" t="s">
        <v>303</v>
      </c>
      <c r="B8" s="2" t="e">
        <f t="shared" ref="B8" si="3">B7+1</f>
        <v>#REF!</v>
      </c>
      <c r="C8" s="38">
        <f t="shared" si="0"/>
        <v>0</v>
      </c>
      <c r="D8" s="38">
        <f t="shared" si="1"/>
        <v>0</v>
      </c>
      <c r="E8" s="38">
        <f t="shared" si="1"/>
        <v>0</v>
      </c>
      <c r="F8" s="6">
        <v>1718.99</v>
      </c>
      <c r="G8" s="6">
        <v>1718.99</v>
      </c>
      <c r="H8" s="6">
        <v>1718.99</v>
      </c>
      <c r="I8" s="5"/>
      <c r="J8" s="99">
        <f t="shared" si="2"/>
        <v>0</v>
      </c>
      <c r="K8" s="99">
        <f t="shared" si="2"/>
        <v>0</v>
      </c>
    </row>
    <row r="9" spans="1:12" s="47" customFormat="1" ht="25.5" x14ac:dyDescent="0.2">
      <c r="A9" s="240" t="s">
        <v>709</v>
      </c>
      <c r="B9" s="269" t="s">
        <v>645</v>
      </c>
      <c r="C9" s="83">
        <f t="shared" si="0"/>
        <v>1188.8884343622165</v>
      </c>
      <c r="D9" s="83">
        <f>J9/G9</f>
        <v>1033.9330530401035</v>
      </c>
      <c r="E9" s="83">
        <f>K9/H9</f>
        <v>1005.953744493392</v>
      </c>
      <c r="F9" s="44">
        <v>26.89</v>
      </c>
      <c r="G9" s="44">
        <v>30.92</v>
      </c>
      <c r="H9" s="44">
        <v>31.78</v>
      </c>
      <c r="I9" s="256">
        <v>31969.21</v>
      </c>
      <c r="J9" s="236">
        <v>31969.21</v>
      </c>
      <c r="K9" s="236">
        <v>31969.21</v>
      </c>
      <c r="L9" s="80"/>
    </row>
    <row r="10" spans="1:12" s="47" customFormat="1" ht="25.5" x14ac:dyDescent="0.2">
      <c r="A10" s="240" t="s">
        <v>710</v>
      </c>
      <c r="B10" s="299" t="s">
        <v>646</v>
      </c>
      <c r="C10" s="83">
        <f t="shared" ref="C10" si="4">I10/F10</f>
        <v>1033.9330530401035</v>
      </c>
      <c r="D10" s="83">
        <f>J10/G10</f>
        <v>1005.953744493392</v>
      </c>
      <c r="E10" s="83">
        <f>K10/H10</f>
        <v>979.4488357843137</v>
      </c>
      <c r="F10" s="44">
        <v>30.92</v>
      </c>
      <c r="G10" s="44">
        <v>31.78</v>
      </c>
      <c r="H10" s="44">
        <v>32.64</v>
      </c>
      <c r="I10" s="298">
        <v>31969.21</v>
      </c>
      <c r="J10" s="298">
        <v>31969.21</v>
      </c>
      <c r="K10" s="298">
        <v>31969.21</v>
      </c>
      <c r="L10" s="80"/>
    </row>
    <row r="11" spans="1:12" ht="25.5" x14ac:dyDescent="0.2">
      <c r="A11" s="240" t="s">
        <v>707</v>
      </c>
      <c r="B11" s="269" t="s">
        <v>647</v>
      </c>
      <c r="C11" s="83">
        <f>I11/F11</f>
        <v>1180.2437894736843</v>
      </c>
      <c r="D11" s="83">
        <f t="shared" ref="D11:D12" si="5">J11/G11</f>
        <v>1026.7688644688644</v>
      </c>
      <c r="E11" s="83">
        <f t="shared" ref="E11:E12" si="6">K11/H11</f>
        <v>1003.968123209169</v>
      </c>
      <c r="F11" s="44">
        <v>23.75</v>
      </c>
      <c r="G11" s="83">
        <v>27.3</v>
      </c>
      <c r="H11" s="44">
        <v>27.92</v>
      </c>
      <c r="I11" s="256">
        <v>28030.79</v>
      </c>
      <c r="J11" s="236">
        <v>28030.79</v>
      </c>
      <c r="K11" s="236">
        <v>28030.79</v>
      </c>
      <c r="L11" s="40"/>
    </row>
    <row r="12" spans="1:12" ht="25.5" x14ac:dyDescent="0.2">
      <c r="A12" s="240" t="s">
        <v>708</v>
      </c>
      <c r="B12" s="297" t="s">
        <v>648</v>
      </c>
      <c r="C12" s="83">
        <f t="shared" si="0"/>
        <v>1026.7688644688644</v>
      </c>
      <c r="D12" s="83">
        <f t="shared" si="5"/>
        <v>1003.968123209169</v>
      </c>
      <c r="E12" s="83">
        <f t="shared" si="6"/>
        <v>982.15802382620893</v>
      </c>
      <c r="F12" s="83">
        <v>27.3</v>
      </c>
      <c r="G12" s="44">
        <v>27.92</v>
      </c>
      <c r="H12" s="44">
        <v>28.54</v>
      </c>
      <c r="I12" s="295">
        <v>28030.79</v>
      </c>
      <c r="J12" s="295">
        <v>28030.79</v>
      </c>
      <c r="K12" s="295">
        <v>28030.79</v>
      </c>
      <c r="L12" s="40"/>
    </row>
    <row r="13" spans="1:12" ht="38.25" x14ac:dyDescent="0.2">
      <c r="A13" s="211" t="s">
        <v>699</v>
      </c>
      <c r="B13" s="267" t="s">
        <v>649</v>
      </c>
      <c r="C13" s="238">
        <v>18</v>
      </c>
      <c r="D13" s="238">
        <v>18</v>
      </c>
      <c r="E13" s="238">
        <v>18</v>
      </c>
      <c r="F13" s="210">
        <v>1949.76</v>
      </c>
      <c r="G13" s="211">
        <v>2013.25</v>
      </c>
      <c r="H13" s="210">
        <v>2013.25</v>
      </c>
      <c r="I13" s="82">
        <f>F13*C13</f>
        <v>35095.68</v>
      </c>
      <c r="J13" s="82">
        <v>35095.68</v>
      </c>
      <c r="K13" s="82">
        <v>35095.68</v>
      </c>
    </row>
    <row r="14" spans="1:12" ht="38.25" x14ac:dyDescent="0.2">
      <c r="A14" s="211" t="s">
        <v>700</v>
      </c>
      <c r="B14" s="267" t="s">
        <v>650</v>
      </c>
      <c r="C14" s="238">
        <f>I14/F14</f>
        <v>17.834009685831369</v>
      </c>
      <c r="D14" s="238">
        <v>18</v>
      </c>
      <c r="E14" s="238">
        <v>18</v>
      </c>
      <c r="F14" s="210">
        <v>2013.25</v>
      </c>
      <c r="G14" s="211">
        <v>2013.25</v>
      </c>
      <c r="H14" s="210">
        <v>2013.25</v>
      </c>
      <c r="I14" s="82">
        <v>35904.32</v>
      </c>
      <c r="J14" s="82">
        <v>35904.32</v>
      </c>
      <c r="K14" s="82">
        <v>35904.32</v>
      </c>
    </row>
    <row r="15" spans="1:12" x14ac:dyDescent="0.2">
      <c r="A15" s="36" t="s">
        <v>546</v>
      </c>
      <c r="B15" s="268"/>
      <c r="C15" s="144"/>
      <c r="D15" s="37"/>
      <c r="E15" s="37"/>
      <c r="F15" s="11"/>
      <c r="G15" s="11"/>
      <c r="H15" s="11"/>
      <c r="I15" s="242">
        <f>SUM(I7:I13)+I14</f>
        <v>191000</v>
      </c>
      <c r="J15" s="242">
        <f t="shared" ref="J15:K15" si="7">SUM(J7:J13)+J14</f>
        <v>191000</v>
      </c>
      <c r="K15" s="242">
        <f t="shared" si="7"/>
        <v>191000</v>
      </c>
    </row>
    <row r="16" spans="1:12" ht="38.25" x14ac:dyDescent="0.2">
      <c r="A16" s="211" t="s">
        <v>481</v>
      </c>
      <c r="B16" s="267" t="s">
        <v>652</v>
      </c>
      <c r="C16" s="81">
        <f>I16/F16</f>
        <v>351.84461021378962</v>
      </c>
      <c r="D16" s="81">
        <f>J16/G16</f>
        <v>248.78787353789951</v>
      </c>
      <c r="E16" s="241">
        <v>0</v>
      </c>
      <c r="F16" s="241">
        <v>2020.21</v>
      </c>
      <c r="G16" s="241">
        <v>2020.21</v>
      </c>
      <c r="H16" s="241">
        <v>2020.21</v>
      </c>
      <c r="I16" s="242">
        <v>710800</v>
      </c>
      <c r="J16" s="242">
        <v>502603.75</v>
      </c>
      <c r="K16" s="225">
        <v>0</v>
      </c>
    </row>
    <row r="17" spans="1:12" s="47" customFormat="1" ht="25.5" x14ac:dyDescent="0.2">
      <c r="A17" s="240" t="s">
        <v>624</v>
      </c>
      <c r="B17" s="269" t="s">
        <v>651</v>
      </c>
      <c r="C17" s="83">
        <f t="shared" ref="C17:C20" si="8">I17/F17</f>
        <v>866.04910024251785</v>
      </c>
      <c r="D17" s="83">
        <f>J17/G17</f>
        <v>944.57441612712034</v>
      </c>
      <c r="E17" s="83">
        <f t="shared" ref="E17:E19" si="9">K17/H17</f>
        <v>983.06304251599886</v>
      </c>
      <c r="F17" s="83">
        <f>2445.71*1.09</f>
        <v>2665.8239000000003</v>
      </c>
      <c r="G17" s="44">
        <v>2665.82</v>
      </c>
      <c r="H17" s="44">
        <v>2665.82</v>
      </c>
      <c r="I17" s="256">
        <f>2322000-I18-I19</f>
        <v>2308734.39</v>
      </c>
      <c r="J17" s="236">
        <f>2322000-J18-J19+208196.25</f>
        <v>2518065.37</v>
      </c>
      <c r="K17" s="236">
        <f>2322000-K18-K19+310800</f>
        <v>2620669.12</v>
      </c>
      <c r="L17" s="239"/>
    </row>
    <row r="18" spans="1:12" s="47" customFormat="1" ht="51" x14ac:dyDescent="0.2">
      <c r="A18" s="240" t="s">
        <v>623</v>
      </c>
      <c r="B18" s="269" t="s">
        <v>653</v>
      </c>
      <c r="C18" s="83">
        <f>I18/F18</f>
        <v>3.7400012003811209</v>
      </c>
      <c r="D18" s="83">
        <f>J18/G18</f>
        <v>3.7400012003811209</v>
      </c>
      <c r="E18" s="83">
        <f>K18/H18</f>
        <v>3.7400012003811209</v>
      </c>
      <c r="F18" s="44">
        <v>2665.82</v>
      </c>
      <c r="G18" s="44">
        <v>2665.82</v>
      </c>
      <c r="H18" s="44">
        <v>2665.82</v>
      </c>
      <c r="I18" s="256">
        <v>9970.17</v>
      </c>
      <c r="J18" s="256">
        <v>9970.17</v>
      </c>
      <c r="K18" s="256">
        <v>9970.17</v>
      </c>
    </row>
    <row r="19" spans="1:12" s="47" customFormat="1" ht="38.25" x14ac:dyDescent="0.2">
      <c r="A19" s="240" t="s">
        <v>625</v>
      </c>
      <c r="B19" s="269" t="s">
        <v>654</v>
      </c>
      <c r="C19" s="83">
        <f t="shared" si="8"/>
        <v>55.049880727263002</v>
      </c>
      <c r="D19" s="83">
        <f t="shared" ref="D19" si="10">J19/G19</f>
        <v>36.096057467423989</v>
      </c>
      <c r="E19" s="83">
        <f t="shared" si="9"/>
        <v>36.096057467423989</v>
      </c>
      <c r="F19" s="83">
        <f>54.92*1.09</f>
        <v>59.862800000000007</v>
      </c>
      <c r="G19" s="44">
        <v>59.86</v>
      </c>
      <c r="H19" s="44">
        <v>59.86</v>
      </c>
      <c r="I19" s="256">
        <f>1647.72+1647.72</f>
        <v>3295.44</v>
      </c>
      <c r="J19" s="236">
        <f>72.26+2088.45</f>
        <v>2160.71</v>
      </c>
      <c r="K19" s="236">
        <f>J19</f>
        <v>2160.71</v>
      </c>
    </row>
    <row r="20" spans="1:12" x14ac:dyDescent="0.2">
      <c r="A20" s="240" t="s">
        <v>626</v>
      </c>
      <c r="B20" s="269" t="s">
        <v>655</v>
      </c>
      <c r="C20" s="83">
        <f t="shared" si="8"/>
        <v>166666.66666666666</v>
      </c>
      <c r="D20" s="83">
        <f>J20/G20</f>
        <v>166666.66666666666</v>
      </c>
      <c r="E20" s="83">
        <f>K20/H20</f>
        <v>222222.22222222222</v>
      </c>
      <c r="F20" s="44">
        <v>7.2</v>
      </c>
      <c r="G20" s="44">
        <v>7.2</v>
      </c>
      <c r="H20" s="44">
        <v>7.2</v>
      </c>
      <c r="I20" s="236">
        <v>1200000</v>
      </c>
      <c r="J20" s="236">
        <v>1200000</v>
      </c>
      <c r="K20" s="236">
        <f>1200000+400000</f>
        <v>1600000</v>
      </c>
      <c r="L20" s="104"/>
    </row>
    <row r="21" spans="1:12" x14ac:dyDescent="0.2">
      <c r="A21" s="90" t="s">
        <v>545</v>
      </c>
      <c r="B21" s="265"/>
      <c r="C21" s="38"/>
      <c r="D21" s="38"/>
      <c r="E21" s="38"/>
      <c r="F21" s="158"/>
      <c r="G21" s="158"/>
      <c r="H21" s="158"/>
      <c r="I21" s="159">
        <f>SUM(I17:I20)+I16</f>
        <v>4232800</v>
      </c>
      <c r="J21" s="159">
        <f>SUM(J17:J20)+J16</f>
        <v>4232800</v>
      </c>
      <c r="K21" s="159">
        <f>SUM(K17:K20)+K16</f>
        <v>4232800</v>
      </c>
      <c r="L21" s="122"/>
    </row>
    <row r="22" spans="1:12" x14ac:dyDescent="0.2">
      <c r="A22" s="11" t="s">
        <v>137</v>
      </c>
      <c r="B22" s="11">
        <v>9000</v>
      </c>
      <c r="C22" s="11"/>
      <c r="D22" s="11"/>
      <c r="E22" s="11"/>
      <c r="F22" s="11"/>
      <c r="G22" s="11"/>
      <c r="H22" s="11"/>
      <c r="I22" s="81">
        <f>I15+I21</f>
        <v>4423800</v>
      </c>
      <c r="J22" s="81">
        <f>J15+J21</f>
        <v>4423800</v>
      </c>
      <c r="K22" s="81">
        <f>K15+K21</f>
        <v>4423800</v>
      </c>
    </row>
    <row r="23" spans="1:12" x14ac:dyDescent="0.2">
      <c r="A23" s="57"/>
      <c r="B23" s="57"/>
      <c r="C23" s="57"/>
      <c r="D23" s="57"/>
      <c r="E23" s="57"/>
      <c r="F23" s="57"/>
      <c r="G23" s="57"/>
      <c r="H23" s="57"/>
      <c r="I23" s="203"/>
      <c r="J23" s="203"/>
      <c r="K23" s="203"/>
    </row>
  </sheetData>
  <mergeCells count="5">
    <mergeCell ref="I3:K3"/>
    <mergeCell ref="A3:A5"/>
    <mergeCell ref="B3:B5"/>
    <mergeCell ref="C3:E3"/>
    <mergeCell ref="F3:H3"/>
  </mergeCells>
  <phoneticPr fontId="12" type="noConversion"/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zoomScaleNormal="100" workbookViewId="0">
      <selection activeCell="D32" sqref="D32"/>
    </sheetView>
  </sheetViews>
  <sheetFormatPr defaultRowHeight="12.75" x14ac:dyDescent="0.2"/>
  <cols>
    <col min="1" max="1" width="33.85546875" style="3" customWidth="1"/>
    <col min="2" max="2" width="9.140625" style="3"/>
    <col min="3" max="5" width="18.42578125" style="3" customWidth="1"/>
    <col min="6" max="16384" width="9.140625" style="3"/>
  </cols>
  <sheetData>
    <row r="1" spans="1:5" x14ac:dyDescent="0.2">
      <c r="A1" s="3" t="s">
        <v>147</v>
      </c>
    </row>
    <row r="3" spans="1:5" x14ac:dyDescent="0.2">
      <c r="A3" s="3" t="s">
        <v>146</v>
      </c>
    </row>
    <row r="5" spans="1:5" ht="24" customHeight="1" x14ac:dyDescent="0.2">
      <c r="A5" s="9" t="s">
        <v>139</v>
      </c>
    </row>
    <row r="6" spans="1:5" x14ac:dyDescent="0.2">
      <c r="A6" s="335" t="s">
        <v>0</v>
      </c>
      <c r="B6" s="335" t="s">
        <v>1</v>
      </c>
      <c r="C6" s="335" t="s">
        <v>117</v>
      </c>
      <c r="D6" s="335"/>
      <c r="E6" s="335"/>
    </row>
    <row r="7" spans="1:5" x14ac:dyDescent="0.2">
      <c r="A7" s="335"/>
      <c r="B7" s="335"/>
      <c r="C7" s="2" t="s">
        <v>363</v>
      </c>
      <c r="D7" s="2" t="s">
        <v>364</v>
      </c>
      <c r="E7" s="2" t="s">
        <v>365</v>
      </c>
    </row>
    <row r="8" spans="1:5" ht="25.5" x14ac:dyDescent="0.2">
      <c r="A8" s="335"/>
      <c r="B8" s="335"/>
      <c r="C8" s="2" t="s">
        <v>79</v>
      </c>
      <c r="D8" s="2" t="s">
        <v>80</v>
      </c>
      <c r="E8" s="2" t="s">
        <v>81</v>
      </c>
    </row>
    <row r="9" spans="1:5" x14ac:dyDescent="0.2">
      <c r="A9" s="2">
        <v>1</v>
      </c>
      <c r="B9" s="2">
        <v>2</v>
      </c>
      <c r="C9" s="2">
        <v>3</v>
      </c>
      <c r="D9" s="2">
        <v>4</v>
      </c>
      <c r="E9" s="2">
        <v>5</v>
      </c>
    </row>
    <row r="10" spans="1:5" ht="38.25" x14ac:dyDescent="0.2">
      <c r="A10" s="6" t="s">
        <v>118</v>
      </c>
      <c r="B10" s="2">
        <v>100</v>
      </c>
      <c r="C10" s="6"/>
      <c r="D10" s="6"/>
      <c r="E10" s="6"/>
    </row>
    <row r="11" spans="1:5" ht="51" x14ac:dyDescent="0.2">
      <c r="A11" s="6" t="s">
        <v>119</v>
      </c>
      <c r="B11" s="2">
        <v>200</v>
      </c>
      <c r="C11" s="6"/>
      <c r="D11" s="6"/>
      <c r="E11" s="6"/>
    </row>
    <row r="12" spans="1:5" x14ac:dyDescent="0.2">
      <c r="A12" s="6" t="s">
        <v>120</v>
      </c>
      <c r="B12" s="2">
        <v>300</v>
      </c>
      <c r="C12" s="6"/>
      <c r="D12" s="6"/>
      <c r="E12" s="6"/>
    </row>
    <row r="13" spans="1:5" x14ac:dyDescent="0.2">
      <c r="A13" s="6" t="s">
        <v>15</v>
      </c>
      <c r="B13" s="335">
        <v>310</v>
      </c>
      <c r="C13" s="336"/>
      <c r="D13" s="336"/>
      <c r="E13" s="336"/>
    </row>
    <row r="14" spans="1:5" ht="51" x14ac:dyDescent="0.2">
      <c r="A14" s="6" t="s">
        <v>17</v>
      </c>
      <c r="B14" s="335"/>
      <c r="C14" s="336"/>
      <c r="D14" s="336"/>
      <c r="E14" s="336"/>
    </row>
    <row r="15" spans="1:5" ht="25.5" x14ac:dyDescent="0.2">
      <c r="A15" s="6" t="s">
        <v>121</v>
      </c>
      <c r="B15" s="2">
        <v>320</v>
      </c>
      <c r="C15" s="6"/>
      <c r="D15" s="6"/>
      <c r="E15" s="6"/>
    </row>
    <row r="16" spans="1:5" ht="38.25" x14ac:dyDescent="0.2">
      <c r="A16" s="6" t="s">
        <v>18</v>
      </c>
      <c r="B16" s="2">
        <v>330</v>
      </c>
      <c r="C16" s="6"/>
      <c r="D16" s="6"/>
      <c r="E16" s="6"/>
    </row>
    <row r="17" spans="1:5" ht="38.25" x14ac:dyDescent="0.2">
      <c r="A17" s="6" t="s">
        <v>19</v>
      </c>
      <c r="B17" s="2">
        <v>340</v>
      </c>
      <c r="C17" s="6"/>
      <c r="D17" s="6"/>
      <c r="E17" s="6"/>
    </row>
    <row r="18" spans="1:5" ht="25.5" x14ac:dyDescent="0.2">
      <c r="A18" s="6" t="s">
        <v>122</v>
      </c>
      <c r="B18" s="2">
        <v>350</v>
      </c>
      <c r="C18" s="6"/>
      <c r="D18" s="6"/>
      <c r="E18" s="6"/>
    </row>
    <row r="19" spans="1:5" ht="25.5" x14ac:dyDescent="0.2">
      <c r="A19" s="6" t="s">
        <v>123</v>
      </c>
      <c r="B19" s="2">
        <v>360</v>
      </c>
      <c r="C19" s="6"/>
      <c r="D19" s="6"/>
      <c r="E19" s="6"/>
    </row>
    <row r="20" spans="1:5" ht="63.75" x14ac:dyDescent="0.2">
      <c r="A20" s="6" t="s">
        <v>124</v>
      </c>
      <c r="B20" s="2">
        <v>370</v>
      </c>
      <c r="C20" s="6"/>
      <c r="D20" s="6"/>
      <c r="E20" s="6"/>
    </row>
    <row r="21" spans="1:5" ht="51" x14ac:dyDescent="0.2">
      <c r="A21" s="6" t="s">
        <v>125</v>
      </c>
      <c r="B21" s="2">
        <v>380</v>
      </c>
      <c r="C21" s="6"/>
      <c r="D21" s="6"/>
      <c r="E21" s="6"/>
    </row>
    <row r="22" spans="1:5" ht="38.25" x14ac:dyDescent="0.2">
      <c r="A22" s="6" t="s">
        <v>126</v>
      </c>
      <c r="B22" s="2">
        <v>390</v>
      </c>
      <c r="C22" s="6"/>
      <c r="D22" s="6"/>
      <c r="E22" s="6"/>
    </row>
    <row r="23" spans="1:5" ht="38.25" x14ac:dyDescent="0.2">
      <c r="A23" s="6" t="s">
        <v>127</v>
      </c>
      <c r="B23" s="2">
        <v>400</v>
      </c>
      <c r="C23" s="6"/>
      <c r="D23" s="6"/>
      <c r="E23" s="6"/>
    </row>
    <row r="24" spans="1:5" ht="51" x14ac:dyDescent="0.2">
      <c r="A24" s="6" t="s">
        <v>128</v>
      </c>
      <c r="B24" s="2">
        <v>500</v>
      </c>
      <c r="C24" s="6"/>
      <c r="D24" s="6"/>
      <c r="E24" s="6"/>
    </row>
    <row r="25" spans="1:5" ht="38.25" x14ac:dyDescent="0.2">
      <c r="A25" s="6" t="s">
        <v>129</v>
      </c>
      <c r="B25" s="2">
        <v>600</v>
      </c>
      <c r="C25" s="6"/>
      <c r="D25" s="6"/>
      <c r="E25" s="6"/>
    </row>
  </sheetData>
  <mergeCells count="7">
    <mergeCell ref="A6:A8"/>
    <mergeCell ref="B6:B8"/>
    <mergeCell ref="C6:E6"/>
    <mergeCell ref="B13:B14"/>
    <mergeCell ref="C13:C14"/>
    <mergeCell ref="D13:D14"/>
    <mergeCell ref="E13:E14"/>
  </mergeCells>
  <phoneticPr fontId="12" type="noConversion"/>
  <pageMargins left="0.7" right="0.7" top="0.75" bottom="0.75" header="0.3" footer="0.3"/>
  <pageSetup paperSize="9" scale="88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zoomScaleNormal="100" workbookViewId="0">
      <selection activeCell="O38" sqref="O38"/>
    </sheetView>
  </sheetViews>
  <sheetFormatPr defaultRowHeight="12.75" x14ac:dyDescent="0.2"/>
  <cols>
    <col min="1" max="1" width="17.85546875" style="3" customWidth="1"/>
    <col min="2" max="2" width="9.140625" style="3"/>
    <col min="3" max="14" width="14.85546875" style="3" customWidth="1"/>
    <col min="15" max="16384" width="9.140625" style="3"/>
  </cols>
  <sheetData>
    <row r="1" spans="1:14" x14ac:dyDescent="0.2">
      <c r="A1" s="3" t="s">
        <v>268</v>
      </c>
    </row>
    <row r="2" spans="1:14" ht="47.25" customHeight="1" x14ac:dyDescent="0.2">
      <c r="A2" s="335" t="s">
        <v>219</v>
      </c>
      <c r="B2" s="335" t="s">
        <v>1</v>
      </c>
      <c r="C2" s="335" t="s">
        <v>265</v>
      </c>
      <c r="D2" s="335"/>
      <c r="E2" s="335"/>
      <c r="F2" s="335" t="s">
        <v>266</v>
      </c>
      <c r="G2" s="335"/>
      <c r="H2" s="335"/>
      <c r="I2" s="367" t="s">
        <v>267</v>
      </c>
      <c r="J2" s="368"/>
      <c r="K2" s="368"/>
      <c r="L2" s="367" t="s">
        <v>117</v>
      </c>
      <c r="M2" s="368"/>
      <c r="N2" s="369"/>
    </row>
    <row r="3" spans="1:14" x14ac:dyDescent="0.2">
      <c r="A3" s="335"/>
      <c r="B3" s="335"/>
      <c r="C3" s="2" t="s">
        <v>4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6" t="s">
        <v>4</v>
      </c>
      <c r="L3" s="16" t="s">
        <v>4</v>
      </c>
      <c r="M3" s="2" t="s">
        <v>4</v>
      </c>
      <c r="N3" s="2" t="s">
        <v>4</v>
      </c>
    </row>
    <row r="4" spans="1:14" ht="38.25" x14ac:dyDescent="0.2">
      <c r="A4" s="335"/>
      <c r="B4" s="335"/>
      <c r="C4" s="2" t="s">
        <v>79</v>
      </c>
      <c r="D4" s="2" t="s">
        <v>80</v>
      </c>
      <c r="E4" s="2" t="s">
        <v>81</v>
      </c>
      <c r="F4" s="2" t="s">
        <v>79</v>
      </c>
      <c r="G4" s="2" t="s">
        <v>80</v>
      </c>
      <c r="H4" s="2" t="s">
        <v>81</v>
      </c>
      <c r="I4" s="6" t="s">
        <v>79</v>
      </c>
      <c r="J4" s="2" t="s">
        <v>80</v>
      </c>
      <c r="K4" s="2" t="s">
        <v>81</v>
      </c>
      <c r="L4" s="16" t="s">
        <v>79</v>
      </c>
      <c r="M4" s="2" t="s">
        <v>80</v>
      </c>
      <c r="N4" s="2" t="s">
        <v>81</v>
      </c>
    </row>
    <row r="5" spans="1:14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10</v>
      </c>
      <c r="J5" s="2">
        <v>11</v>
      </c>
      <c r="K5" s="6">
        <v>9</v>
      </c>
      <c r="L5" s="16">
        <v>12</v>
      </c>
      <c r="M5" s="2">
        <v>13</v>
      </c>
      <c r="N5" s="2">
        <v>14</v>
      </c>
    </row>
    <row r="6" spans="1:14" x14ac:dyDescent="0.2">
      <c r="A6" s="6"/>
      <c r="B6" s="266" t="s">
        <v>645</v>
      </c>
      <c r="C6" s="6"/>
      <c r="D6" s="6"/>
      <c r="E6" s="6"/>
      <c r="F6" s="6"/>
      <c r="G6" s="6"/>
      <c r="H6" s="6"/>
      <c r="I6" s="6"/>
      <c r="J6" s="6"/>
      <c r="K6" s="6"/>
      <c r="L6" s="8"/>
      <c r="M6" s="6"/>
      <c r="N6" s="6"/>
    </row>
    <row r="7" spans="1:14" x14ac:dyDescent="0.2">
      <c r="A7" s="6"/>
      <c r="B7" s="266" t="s">
        <v>646</v>
      </c>
      <c r="C7" s="6"/>
      <c r="D7" s="6"/>
      <c r="E7" s="6"/>
      <c r="F7" s="6"/>
      <c r="G7" s="6"/>
      <c r="H7" s="6"/>
      <c r="I7" s="6"/>
      <c r="J7" s="6"/>
      <c r="K7" s="6"/>
      <c r="L7" s="8"/>
      <c r="M7" s="6"/>
      <c r="N7" s="6"/>
    </row>
    <row r="8" spans="1:14" x14ac:dyDescent="0.2">
      <c r="A8" s="6"/>
      <c r="B8" s="270"/>
      <c r="C8" s="6"/>
      <c r="D8" s="6"/>
      <c r="E8" s="6"/>
      <c r="F8" s="6"/>
      <c r="G8" s="6"/>
      <c r="H8" s="6"/>
      <c r="I8" s="6"/>
      <c r="J8" s="6"/>
      <c r="K8" s="6"/>
      <c r="L8" s="8"/>
      <c r="M8" s="6"/>
      <c r="N8" s="6"/>
    </row>
    <row r="9" spans="1:14" x14ac:dyDescent="0.2">
      <c r="A9" s="6" t="s">
        <v>137</v>
      </c>
      <c r="B9" s="2">
        <v>9000</v>
      </c>
      <c r="C9" s="2" t="s">
        <v>12</v>
      </c>
      <c r="D9" s="2" t="s">
        <v>12</v>
      </c>
      <c r="E9" s="2" t="s">
        <v>12</v>
      </c>
      <c r="F9" s="2" t="s">
        <v>12</v>
      </c>
      <c r="G9" s="2" t="s">
        <v>12</v>
      </c>
      <c r="H9" s="2" t="s">
        <v>12</v>
      </c>
      <c r="I9" s="2" t="s">
        <v>12</v>
      </c>
      <c r="J9" s="2" t="s">
        <v>12</v>
      </c>
      <c r="K9" s="2" t="s">
        <v>12</v>
      </c>
      <c r="L9" s="8"/>
      <c r="M9" s="6"/>
      <c r="N9" s="6"/>
    </row>
  </sheetData>
  <mergeCells count="6">
    <mergeCell ref="I2:K2"/>
    <mergeCell ref="L2:N2"/>
    <mergeCell ref="A2:A4"/>
    <mergeCell ref="B2:B4"/>
    <mergeCell ref="C2:E2"/>
    <mergeCell ref="F2:H2"/>
  </mergeCells>
  <phoneticPr fontId="12" type="noConversion"/>
  <pageMargins left="0.7" right="0.7" top="0.75" bottom="0.75" header="0.3" footer="0.3"/>
  <pageSetup paperSize="9" scale="63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opLeftCell="A26" zoomScaleNormal="100" workbookViewId="0">
      <selection activeCell="B61" sqref="B61"/>
    </sheetView>
  </sheetViews>
  <sheetFormatPr defaultRowHeight="12.75" x14ac:dyDescent="0.2"/>
  <cols>
    <col min="1" max="1" width="29.42578125" style="3" customWidth="1"/>
    <col min="2" max="2" width="9.140625" style="3"/>
    <col min="3" max="11" width="16.7109375" style="3" customWidth="1"/>
    <col min="12" max="16384" width="9.140625" style="3"/>
  </cols>
  <sheetData>
    <row r="1" spans="1:12" x14ac:dyDescent="0.2">
      <c r="A1" s="3" t="s">
        <v>271</v>
      </c>
    </row>
    <row r="3" spans="1:12" x14ac:dyDescent="0.2">
      <c r="A3" s="3" t="s">
        <v>432</v>
      </c>
    </row>
    <row r="4" spans="1:12" x14ac:dyDescent="0.2">
      <c r="A4" s="335" t="s">
        <v>219</v>
      </c>
      <c r="B4" s="335" t="s">
        <v>1</v>
      </c>
      <c r="C4" s="335" t="s">
        <v>269</v>
      </c>
      <c r="D4" s="335"/>
      <c r="E4" s="335"/>
      <c r="F4" s="335" t="s">
        <v>270</v>
      </c>
      <c r="G4" s="335"/>
      <c r="H4" s="335"/>
      <c r="I4" s="335" t="s">
        <v>117</v>
      </c>
      <c r="J4" s="335"/>
      <c r="K4" s="335"/>
    </row>
    <row r="5" spans="1:12" x14ac:dyDescent="0.2">
      <c r="A5" s="335"/>
      <c r="B5" s="335"/>
      <c r="C5" s="290" t="s">
        <v>582</v>
      </c>
      <c r="D5" s="290" t="s">
        <v>614</v>
      </c>
      <c r="E5" s="290" t="s">
        <v>694</v>
      </c>
      <c r="F5" s="290" t="s">
        <v>582</v>
      </c>
      <c r="G5" s="290" t="s">
        <v>614</v>
      </c>
      <c r="H5" s="290" t="s">
        <v>694</v>
      </c>
      <c r="I5" s="290" t="s">
        <v>582</v>
      </c>
      <c r="J5" s="290" t="s">
        <v>614</v>
      </c>
      <c r="K5" s="290" t="s">
        <v>694</v>
      </c>
    </row>
    <row r="6" spans="1:12" ht="38.25" x14ac:dyDescent="0.2">
      <c r="A6" s="335"/>
      <c r="B6" s="335"/>
      <c r="C6" s="2" t="s">
        <v>79</v>
      </c>
      <c r="D6" s="2" t="s">
        <v>80</v>
      </c>
      <c r="E6" s="2" t="s">
        <v>81</v>
      </c>
      <c r="F6" s="2" t="s">
        <v>79</v>
      </c>
      <c r="G6" s="2" t="s">
        <v>80</v>
      </c>
      <c r="H6" s="2" t="s">
        <v>81</v>
      </c>
      <c r="I6" s="2" t="s">
        <v>79</v>
      </c>
      <c r="J6" s="2" t="s">
        <v>80</v>
      </c>
      <c r="K6" s="2" t="s">
        <v>81</v>
      </c>
    </row>
    <row r="7" spans="1:12" x14ac:dyDescent="0.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</row>
    <row r="8" spans="1:12" ht="25.5" x14ac:dyDescent="0.2">
      <c r="A8" s="90" t="s">
        <v>587</v>
      </c>
      <c r="B8" s="266" t="s">
        <v>645</v>
      </c>
      <c r="C8" s="6">
        <v>1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I8" s="282">
        <v>24000</v>
      </c>
      <c r="J8" s="137">
        <v>24000</v>
      </c>
      <c r="K8" s="137">
        <v>24000</v>
      </c>
      <c r="L8" s="3" t="s">
        <v>589</v>
      </c>
    </row>
    <row r="9" spans="1:12" x14ac:dyDescent="0.2">
      <c r="A9" s="6" t="s">
        <v>304</v>
      </c>
      <c r="B9" s="266" t="s">
        <v>646</v>
      </c>
      <c r="C9" s="6">
        <v>1</v>
      </c>
      <c r="D9" s="6">
        <v>1</v>
      </c>
      <c r="E9" s="6">
        <v>1</v>
      </c>
      <c r="F9" s="6">
        <v>12</v>
      </c>
      <c r="G9" s="6">
        <v>12</v>
      </c>
      <c r="H9" s="6">
        <v>12</v>
      </c>
      <c r="I9" s="282">
        <v>27768</v>
      </c>
      <c r="J9" s="137">
        <v>27768</v>
      </c>
      <c r="K9" s="137">
        <v>27768</v>
      </c>
    </row>
    <row r="10" spans="1:12" ht="25.5" x14ac:dyDescent="0.2">
      <c r="A10" s="6" t="s">
        <v>305</v>
      </c>
      <c r="B10" s="266" t="s">
        <v>647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I10" s="282">
        <v>15000</v>
      </c>
      <c r="J10" s="137">
        <v>15000</v>
      </c>
      <c r="K10" s="137">
        <v>15000</v>
      </c>
    </row>
    <row r="11" spans="1:12" x14ac:dyDescent="0.2">
      <c r="A11" s="6" t="s">
        <v>306</v>
      </c>
      <c r="B11" s="266" t="s">
        <v>648</v>
      </c>
      <c r="C11" s="6">
        <v>1</v>
      </c>
      <c r="D11" s="6">
        <v>1</v>
      </c>
      <c r="E11" s="6">
        <v>1</v>
      </c>
      <c r="F11" s="6">
        <v>12</v>
      </c>
      <c r="G11" s="6">
        <v>12</v>
      </c>
      <c r="H11" s="6">
        <v>12</v>
      </c>
      <c r="I11" s="282">
        <v>33498.839999999997</v>
      </c>
      <c r="J11" s="137">
        <v>33498.839999999997</v>
      </c>
      <c r="K11" s="137">
        <v>33498.839999999997</v>
      </c>
      <c r="L11" s="3" t="s">
        <v>588</v>
      </c>
    </row>
    <row r="12" spans="1:12" x14ac:dyDescent="0.2">
      <c r="A12" s="6" t="s">
        <v>326</v>
      </c>
      <c r="B12" s="266" t="s">
        <v>649</v>
      </c>
      <c r="C12" s="6">
        <v>1</v>
      </c>
      <c r="D12" s="6">
        <v>1</v>
      </c>
      <c r="E12" s="6">
        <v>1</v>
      </c>
      <c r="F12" s="6">
        <v>12</v>
      </c>
      <c r="G12" s="6">
        <v>12</v>
      </c>
      <c r="H12" s="6">
        <v>12</v>
      </c>
      <c r="I12" s="282">
        <v>31200</v>
      </c>
      <c r="J12" s="137">
        <v>31200</v>
      </c>
      <c r="K12" s="137">
        <v>31200</v>
      </c>
      <c r="L12" s="3" t="s">
        <v>586</v>
      </c>
    </row>
    <row r="13" spans="1:12" ht="25.5" hidden="1" x14ac:dyDescent="0.2">
      <c r="A13" s="6" t="s">
        <v>371</v>
      </c>
      <c r="B13" s="266" t="s">
        <v>652</v>
      </c>
      <c r="C13" s="6">
        <v>0</v>
      </c>
      <c r="D13" s="6">
        <v>1</v>
      </c>
      <c r="E13" s="6">
        <v>1</v>
      </c>
      <c r="F13" s="6">
        <v>0</v>
      </c>
      <c r="G13" s="6">
        <v>1</v>
      </c>
      <c r="H13" s="6">
        <v>1</v>
      </c>
      <c r="I13" s="282">
        <v>0</v>
      </c>
      <c r="J13" s="137">
        <v>0</v>
      </c>
      <c r="K13" s="137">
        <v>0</v>
      </c>
    </row>
    <row r="14" spans="1:12" ht="25.5" x14ac:dyDescent="0.2">
      <c r="A14" s="90" t="s">
        <v>584</v>
      </c>
      <c r="B14" s="266" t="s">
        <v>650</v>
      </c>
      <c r="C14" s="6">
        <v>1</v>
      </c>
      <c r="D14" s="6">
        <v>1</v>
      </c>
      <c r="E14" s="6">
        <v>1</v>
      </c>
      <c r="F14" s="6">
        <v>12</v>
      </c>
      <c r="G14" s="6">
        <v>12</v>
      </c>
      <c r="H14" s="6">
        <v>12</v>
      </c>
      <c r="I14" s="282">
        <v>32472</v>
      </c>
      <c r="J14" s="137">
        <v>32472</v>
      </c>
      <c r="K14" s="137">
        <v>32472</v>
      </c>
    </row>
    <row r="15" spans="1:12" x14ac:dyDescent="0.2">
      <c r="A15" s="90" t="s">
        <v>585</v>
      </c>
      <c r="B15" s="266" t="s">
        <v>652</v>
      </c>
      <c r="C15" s="6">
        <v>1</v>
      </c>
      <c r="D15" s="6">
        <v>1</v>
      </c>
      <c r="E15" s="6">
        <v>1</v>
      </c>
      <c r="F15" s="6">
        <v>1</v>
      </c>
      <c r="G15" s="6">
        <v>1</v>
      </c>
      <c r="H15" s="6">
        <v>1</v>
      </c>
      <c r="I15" s="282">
        <v>10000</v>
      </c>
      <c r="J15" s="137">
        <v>10000</v>
      </c>
      <c r="K15" s="137">
        <v>10000</v>
      </c>
    </row>
    <row r="16" spans="1:12" x14ac:dyDescent="0.2">
      <c r="A16" s="6" t="s">
        <v>372</v>
      </c>
      <c r="B16" s="266" t="s">
        <v>651</v>
      </c>
      <c r="C16" s="6">
        <v>1</v>
      </c>
      <c r="D16" s="6">
        <v>1</v>
      </c>
      <c r="E16" s="6">
        <v>1</v>
      </c>
      <c r="F16" s="6">
        <v>4</v>
      </c>
      <c r="G16" s="6">
        <v>4</v>
      </c>
      <c r="H16" s="6">
        <v>4</v>
      </c>
      <c r="I16" s="282">
        <v>10000</v>
      </c>
      <c r="J16" s="137">
        <v>10000</v>
      </c>
      <c r="K16" s="137">
        <v>10000</v>
      </c>
    </row>
    <row r="17" spans="1:12" ht="51" x14ac:dyDescent="0.2">
      <c r="A17" s="6" t="s">
        <v>373</v>
      </c>
      <c r="B17" s="266" t="s">
        <v>653</v>
      </c>
      <c r="C17" s="6">
        <v>1</v>
      </c>
      <c r="D17" s="6">
        <v>1</v>
      </c>
      <c r="E17" s="6">
        <v>1</v>
      </c>
      <c r="F17" s="6">
        <v>1</v>
      </c>
      <c r="G17" s="6">
        <v>1</v>
      </c>
      <c r="H17" s="6">
        <v>1</v>
      </c>
      <c r="I17" s="282">
        <v>21800</v>
      </c>
      <c r="J17" s="137">
        <f>20000-12338.28</f>
        <v>7661.7199999999993</v>
      </c>
      <c r="K17" s="137">
        <f>20000-12338.28</f>
        <v>7661.7199999999993</v>
      </c>
    </row>
    <row r="18" spans="1:12" x14ac:dyDescent="0.2">
      <c r="A18" s="6" t="s">
        <v>374</v>
      </c>
      <c r="B18" s="266" t="s">
        <v>654</v>
      </c>
      <c r="C18" s="6">
        <v>1</v>
      </c>
      <c r="D18" s="6">
        <v>0</v>
      </c>
      <c r="E18" s="6">
        <v>0</v>
      </c>
      <c r="F18" s="6">
        <v>3</v>
      </c>
      <c r="G18" s="6">
        <v>0</v>
      </c>
      <c r="H18" s="6">
        <v>0</v>
      </c>
      <c r="I18" s="282">
        <v>8000</v>
      </c>
      <c r="J18" s="137">
        <v>0</v>
      </c>
      <c r="K18" s="137">
        <v>0</v>
      </c>
    </row>
    <row r="19" spans="1:12" ht="25.5" x14ac:dyDescent="0.2">
      <c r="A19" s="90" t="s">
        <v>482</v>
      </c>
      <c r="B19" s="266" t="s">
        <v>655</v>
      </c>
      <c r="C19" s="96">
        <v>1</v>
      </c>
      <c r="D19" s="96">
        <v>1</v>
      </c>
      <c r="E19" s="96">
        <v>1</v>
      </c>
      <c r="F19" s="96">
        <v>12</v>
      </c>
      <c r="G19" s="96">
        <v>12</v>
      </c>
      <c r="H19" s="96">
        <v>12</v>
      </c>
      <c r="I19" s="282">
        <v>340799.28</v>
      </c>
      <c r="J19" s="137">
        <v>368928</v>
      </c>
      <c r="K19" s="137">
        <v>368928</v>
      </c>
      <c r="L19" s="3" t="s">
        <v>588</v>
      </c>
    </row>
    <row r="20" spans="1:12" x14ac:dyDescent="0.2">
      <c r="A20" s="6" t="s">
        <v>375</v>
      </c>
      <c r="B20" s="266" t="s">
        <v>656</v>
      </c>
      <c r="C20" s="6">
        <v>1</v>
      </c>
      <c r="D20" s="6">
        <v>1</v>
      </c>
      <c r="E20" s="6">
        <v>1</v>
      </c>
      <c r="F20" s="6">
        <v>2</v>
      </c>
      <c r="G20" s="6">
        <v>2</v>
      </c>
      <c r="H20" s="6">
        <v>2</v>
      </c>
      <c r="I20" s="282">
        <v>8000</v>
      </c>
      <c r="J20" s="137">
        <v>7009.56</v>
      </c>
      <c r="K20" s="137">
        <v>7009.56</v>
      </c>
    </row>
    <row r="21" spans="1:12" x14ac:dyDescent="0.2">
      <c r="A21" s="90" t="s">
        <v>607</v>
      </c>
      <c r="B21" s="266" t="s">
        <v>657</v>
      </c>
      <c r="C21" s="188">
        <v>1</v>
      </c>
      <c r="D21" s="188">
        <v>1</v>
      </c>
      <c r="E21" s="188">
        <v>1</v>
      </c>
      <c r="F21" s="188">
        <v>1</v>
      </c>
      <c r="G21" s="188">
        <v>1</v>
      </c>
      <c r="H21" s="188">
        <v>1</v>
      </c>
      <c r="I21" s="282">
        <v>7000</v>
      </c>
      <c r="J21" s="191">
        <v>2000</v>
      </c>
      <c r="K21" s="191">
        <v>2000</v>
      </c>
    </row>
    <row r="22" spans="1:12" ht="25.5" x14ac:dyDescent="0.2">
      <c r="A22" s="90" t="s">
        <v>701</v>
      </c>
      <c r="B22" s="266" t="s">
        <v>658</v>
      </c>
      <c r="C22" s="213">
        <v>1</v>
      </c>
      <c r="D22" s="213">
        <v>1</v>
      </c>
      <c r="E22" s="213">
        <v>1</v>
      </c>
      <c r="F22" s="213">
        <v>1</v>
      </c>
      <c r="G22" s="213">
        <v>1</v>
      </c>
      <c r="H22" s="213">
        <v>1</v>
      </c>
      <c r="I22" s="282">
        <v>10000</v>
      </c>
      <c r="J22" s="216">
        <v>10000</v>
      </c>
      <c r="K22" s="216">
        <v>10000</v>
      </c>
    </row>
    <row r="23" spans="1:12" ht="25.5" x14ac:dyDescent="0.2">
      <c r="A23" s="90" t="s">
        <v>618</v>
      </c>
      <c r="B23" s="266" t="s">
        <v>659</v>
      </c>
      <c r="C23" s="235">
        <v>1</v>
      </c>
      <c r="D23" s="235">
        <v>1</v>
      </c>
      <c r="E23" s="235">
        <v>1</v>
      </c>
      <c r="F23" s="235">
        <v>12</v>
      </c>
      <c r="G23" s="235">
        <v>12</v>
      </c>
      <c r="H23" s="235">
        <v>12</v>
      </c>
      <c r="I23" s="282">
        <v>34272.839999999997</v>
      </c>
      <c r="J23" s="237">
        <v>34272.839999999997</v>
      </c>
      <c r="K23" s="237">
        <v>34272.839999999997</v>
      </c>
    </row>
    <row r="24" spans="1:12" ht="25.5" x14ac:dyDescent="0.2">
      <c r="A24" s="90" t="s">
        <v>617</v>
      </c>
      <c r="B24" s="266" t="s">
        <v>660</v>
      </c>
      <c r="C24" s="246">
        <v>1</v>
      </c>
      <c r="D24" s="246">
        <v>1</v>
      </c>
      <c r="E24" s="246">
        <v>1</v>
      </c>
      <c r="F24" s="246">
        <v>12</v>
      </c>
      <c r="G24" s="246">
        <v>12</v>
      </c>
      <c r="H24" s="246">
        <v>12</v>
      </c>
      <c r="I24" s="282">
        <v>42000</v>
      </c>
      <c r="J24" s="249">
        <v>42000</v>
      </c>
      <c r="K24" s="249">
        <v>42000</v>
      </c>
    </row>
    <row r="25" spans="1:12" x14ac:dyDescent="0.2">
      <c r="A25" s="6" t="s">
        <v>137</v>
      </c>
      <c r="B25" s="2">
        <v>9000</v>
      </c>
      <c r="C25" s="2" t="s">
        <v>12</v>
      </c>
      <c r="D25" s="2" t="s">
        <v>12</v>
      </c>
      <c r="E25" s="2" t="s">
        <v>12</v>
      </c>
      <c r="F25" s="2" t="s">
        <v>12</v>
      </c>
      <c r="G25" s="2" t="s">
        <v>12</v>
      </c>
      <c r="H25" s="2" t="s">
        <v>12</v>
      </c>
      <c r="I25" s="189">
        <f>SUM(I8:I24)</f>
        <v>655810.96</v>
      </c>
      <c r="J25" s="70">
        <f>SUM(J8:J22)+J23+J24</f>
        <v>655810.96000000008</v>
      </c>
      <c r="K25" s="292">
        <f>SUM(K8:K22)+K23+K24</f>
        <v>655810.96000000008</v>
      </c>
    </row>
    <row r="26" spans="1:12" x14ac:dyDescent="0.2">
      <c r="I26" s="47"/>
      <c r="J26" s="47"/>
      <c r="K26" s="47"/>
    </row>
    <row r="27" spans="1:12" x14ac:dyDescent="0.2">
      <c r="I27" s="47"/>
      <c r="J27" s="47"/>
      <c r="K27" s="47"/>
    </row>
    <row r="28" spans="1:12" x14ac:dyDescent="0.2">
      <c r="A28" s="3" t="s">
        <v>437</v>
      </c>
      <c r="I28" s="47"/>
      <c r="J28" s="47"/>
      <c r="K28" s="47"/>
    </row>
    <row r="29" spans="1:12" x14ac:dyDescent="0.2">
      <c r="A29" s="335" t="s">
        <v>219</v>
      </c>
      <c r="B29" s="335" t="s">
        <v>1</v>
      </c>
      <c r="C29" s="335" t="s">
        <v>269</v>
      </c>
      <c r="D29" s="335"/>
      <c r="E29" s="335"/>
      <c r="F29" s="335" t="s">
        <v>270</v>
      </c>
      <c r="G29" s="335"/>
      <c r="H29" s="335"/>
      <c r="I29" s="345" t="s">
        <v>117</v>
      </c>
      <c r="J29" s="345"/>
      <c r="K29" s="345"/>
    </row>
    <row r="30" spans="1:12" x14ac:dyDescent="0.2">
      <c r="A30" s="335"/>
      <c r="B30" s="335"/>
      <c r="C30" s="290" t="s">
        <v>582</v>
      </c>
      <c r="D30" s="290" t="s">
        <v>614</v>
      </c>
      <c r="E30" s="290" t="s">
        <v>694</v>
      </c>
      <c r="F30" s="290" t="s">
        <v>582</v>
      </c>
      <c r="G30" s="290" t="s">
        <v>614</v>
      </c>
      <c r="H30" s="290" t="s">
        <v>694</v>
      </c>
      <c r="I30" s="290" t="s">
        <v>582</v>
      </c>
      <c r="J30" s="290" t="s">
        <v>614</v>
      </c>
      <c r="K30" s="290" t="s">
        <v>694</v>
      </c>
    </row>
    <row r="31" spans="1:12" ht="38.25" x14ac:dyDescent="0.2">
      <c r="A31" s="335"/>
      <c r="B31" s="335"/>
      <c r="C31" s="2" t="s">
        <v>79</v>
      </c>
      <c r="D31" s="2" t="s">
        <v>80</v>
      </c>
      <c r="E31" s="2" t="s">
        <v>81</v>
      </c>
      <c r="F31" s="2" t="s">
        <v>79</v>
      </c>
      <c r="G31" s="2" t="s">
        <v>80</v>
      </c>
      <c r="H31" s="2" t="s">
        <v>81</v>
      </c>
      <c r="I31" s="71" t="s">
        <v>79</v>
      </c>
      <c r="J31" s="71" t="s">
        <v>80</v>
      </c>
      <c r="K31" s="71" t="s">
        <v>81</v>
      </c>
    </row>
    <row r="32" spans="1:12" x14ac:dyDescent="0.2">
      <c r="A32" s="2">
        <v>1</v>
      </c>
      <c r="B32" s="2">
        <v>2</v>
      </c>
      <c r="C32" s="2">
        <v>3</v>
      </c>
      <c r="D32" s="2">
        <v>4</v>
      </c>
      <c r="E32" s="2">
        <v>5</v>
      </c>
      <c r="F32" s="2">
        <v>6</v>
      </c>
      <c r="G32" s="2">
        <v>7</v>
      </c>
      <c r="H32" s="2">
        <v>8</v>
      </c>
      <c r="I32" s="71">
        <v>9</v>
      </c>
      <c r="J32" s="71">
        <v>10</v>
      </c>
      <c r="K32" s="71">
        <v>11</v>
      </c>
    </row>
    <row r="33" spans="1:11" x14ac:dyDescent="0.2">
      <c r="A33" s="6" t="s">
        <v>376</v>
      </c>
      <c r="B33" s="266" t="s">
        <v>645</v>
      </c>
      <c r="C33" s="6">
        <v>1</v>
      </c>
      <c r="D33" s="6">
        <v>1</v>
      </c>
      <c r="E33" s="6">
        <v>1</v>
      </c>
      <c r="F33" s="6">
        <v>1</v>
      </c>
      <c r="G33" s="6">
        <v>1</v>
      </c>
      <c r="H33" s="6">
        <v>1</v>
      </c>
      <c r="I33" s="256">
        <v>100000</v>
      </c>
      <c r="J33" s="70">
        <v>100000</v>
      </c>
      <c r="K33" s="70">
        <v>100000</v>
      </c>
    </row>
    <row r="34" spans="1:11" x14ac:dyDescent="0.2">
      <c r="A34" s="6" t="s">
        <v>307</v>
      </c>
      <c r="B34" s="266" t="s">
        <v>646</v>
      </c>
      <c r="C34" s="6">
        <v>1</v>
      </c>
      <c r="D34" s="6">
        <v>1</v>
      </c>
      <c r="E34" s="6">
        <v>1</v>
      </c>
      <c r="F34" s="6">
        <v>1</v>
      </c>
      <c r="G34" s="6">
        <v>1</v>
      </c>
      <c r="H34" s="6">
        <v>1</v>
      </c>
      <c r="I34" s="256">
        <v>70000</v>
      </c>
      <c r="J34" s="70">
        <v>70000</v>
      </c>
      <c r="K34" s="70">
        <v>70000</v>
      </c>
    </row>
    <row r="35" spans="1:11" x14ac:dyDescent="0.2">
      <c r="A35" s="6" t="s">
        <v>137</v>
      </c>
      <c r="B35" s="2">
        <v>9000</v>
      </c>
      <c r="C35" s="2" t="s">
        <v>12</v>
      </c>
      <c r="D35" s="2" t="s">
        <v>12</v>
      </c>
      <c r="E35" s="2" t="s">
        <v>12</v>
      </c>
      <c r="F35" s="2" t="s">
        <v>12</v>
      </c>
      <c r="G35" s="2" t="s">
        <v>12</v>
      </c>
      <c r="H35" s="2" t="s">
        <v>12</v>
      </c>
      <c r="I35" s="256">
        <f>SUM(I33:I34)</f>
        <v>170000</v>
      </c>
      <c r="J35" s="70">
        <f>SUM(J33:J34)</f>
        <v>170000</v>
      </c>
      <c r="K35" s="70">
        <f>SUM(K33:K34)</f>
        <v>170000</v>
      </c>
    </row>
    <row r="36" spans="1:11" x14ac:dyDescent="0.2">
      <c r="I36" s="47"/>
      <c r="J36" s="47"/>
      <c r="K36" s="47"/>
    </row>
    <row r="37" spans="1:11" x14ac:dyDescent="0.2">
      <c r="A37" s="3" t="s">
        <v>431</v>
      </c>
      <c r="I37" s="47"/>
      <c r="J37" s="47"/>
      <c r="K37" s="47"/>
    </row>
    <row r="38" spans="1:11" x14ac:dyDescent="0.2">
      <c r="A38" s="335" t="s">
        <v>219</v>
      </c>
      <c r="B38" s="335" t="s">
        <v>1</v>
      </c>
      <c r="C38" s="335" t="s">
        <v>269</v>
      </c>
      <c r="D38" s="335"/>
      <c r="E38" s="335"/>
      <c r="F38" s="335" t="s">
        <v>270</v>
      </c>
      <c r="G38" s="335"/>
      <c r="H38" s="335"/>
      <c r="I38" s="345" t="s">
        <v>117</v>
      </c>
      <c r="J38" s="345"/>
      <c r="K38" s="345"/>
    </row>
    <row r="39" spans="1:11" x14ac:dyDescent="0.2">
      <c r="A39" s="335"/>
      <c r="B39" s="335"/>
      <c r="C39" s="248" t="s">
        <v>519</v>
      </c>
      <c r="D39" s="248" t="s">
        <v>582</v>
      </c>
      <c r="E39" s="248" t="s">
        <v>614</v>
      </c>
      <c r="F39" s="248" t="s">
        <v>519</v>
      </c>
      <c r="G39" s="248" t="s">
        <v>582</v>
      </c>
      <c r="H39" s="248" t="s">
        <v>614</v>
      </c>
      <c r="I39" s="248" t="s">
        <v>519</v>
      </c>
      <c r="J39" s="248" t="s">
        <v>582</v>
      </c>
      <c r="K39" s="248" t="s">
        <v>614</v>
      </c>
    </row>
    <row r="40" spans="1:11" ht="38.25" x14ac:dyDescent="0.2">
      <c r="A40" s="335"/>
      <c r="B40" s="335"/>
      <c r="C40" s="2" t="s">
        <v>79</v>
      </c>
      <c r="D40" s="2" t="s">
        <v>80</v>
      </c>
      <c r="E40" s="2" t="s">
        <v>81</v>
      </c>
      <c r="F40" s="2" t="s">
        <v>79</v>
      </c>
      <c r="G40" s="2" t="s">
        <v>80</v>
      </c>
      <c r="H40" s="2" t="s">
        <v>81</v>
      </c>
      <c r="I40" s="71" t="s">
        <v>79</v>
      </c>
      <c r="J40" s="71" t="s">
        <v>80</v>
      </c>
      <c r="K40" s="71" t="s">
        <v>81</v>
      </c>
    </row>
    <row r="41" spans="1:11" x14ac:dyDescent="0.2">
      <c r="A41" s="2">
        <v>1</v>
      </c>
      <c r="B41" s="2">
        <v>2</v>
      </c>
      <c r="C41" s="2">
        <v>3</v>
      </c>
      <c r="D41" s="2">
        <v>4</v>
      </c>
      <c r="E41" s="2">
        <v>5</v>
      </c>
      <c r="F41" s="2">
        <v>6</v>
      </c>
      <c r="G41" s="2">
        <v>7</v>
      </c>
      <c r="H41" s="2">
        <v>8</v>
      </c>
      <c r="I41" s="71">
        <v>9</v>
      </c>
      <c r="J41" s="71">
        <v>10</v>
      </c>
      <c r="K41" s="71">
        <v>11</v>
      </c>
    </row>
    <row r="42" spans="1:11" ht="25.5" x14ac:dyDescent="0.2">
      <c r="A42" s="6" t="s">
        <v>377</v>
      </c>
      <c r="B42" s="266" t="s">
        <v>645</v>
      </c>
      <c r="C42" s="6">
        <v>1</v>
      </c>
      <c r="D42" s="6">
        <v>1</v>
      </c>
      <c r="E42" s="6">
        <v>1</v>
      </c>
      <c r="F42" s="6">
        <v>1</v>
      </c>
      <c r="G42" s="6">
        <v>1</v>
      </c>
      <c r="H42" s="6">
        <v>1</v>
      </c>
      <c r="I42" s="287">
        <v>20000</v>
      </c>
      <c r="J42" s="70">
        <v>20000</v>
      </c>
      <c r="K42" s="70">
        <v>20000</v>
      </c>
    </row>
    <row r="43" spans="1:11" x14ac:dyDescent="0.2">
      <c r="A43" s="6" t="s">
        <v>137</v>
      </c>
      <c r="B43" s="2">
        <v>9000</v>
      </c>
      <c r="C43" s="2" t="s">
        <v>12</v>
      </c>
      <c r="D43" s="2" t="s">
        <v>12</v>
      </c>
      <c r="E43" s="2" t="s">
        <v>12</v>
      </c>
      <c r="F43" s="2" t="s">
        <v>12</v>
      </c>
      <c r="G43" s="2" t="s">
        <v>12</v>
      </c>
      <c r="H43" s="2" t="s">
        <v>12</v>
      </c>
      <c r="I43" s="70">
        <f>SUM(I42:I42)</f>
        <v>20000</v>
      </c>
      <c r="J43" s="70">
        <f>SUM(J42:J42)</f>
        <v>20000</v>
      </c>
      <c r="K43" s="70">
        <f>SUM(K42:K42)</f>
        <v>20000</v>
      </c>
    </row>
    <row r="44" spans="1:11" hidden="1" x14ac:dyDescent="0.2"/>
    <row r="45" spans="1:11" hidden="1" x14ac:dyDescent="0.2">
      <c r="A45" s="3" t="s">
        <v>349</v>
      </c>
    </row>
    <row r="46" spans="1:11" hidden="1" x14ac:dyDescent="0.2">
      <c r="A46" s="335" t="s">
        <v>219</v>
      </c>
      <c r="B46" s="335" t="s">
        <v>1</v>
      </c>
      <c r="C46" s="335" t="s">
        <v>269</v>
      </c>
      <c r="D46" s="335"/>
      <c r="E46" s="335"/>
      <c r="F46" s="335" t="s">
        <v>270</v>
      </c>
      <c r="G46" s="335"/>
      <c r="H46" s="335"/>
      <c r="I46" s="335" t="s">
        <v>117</v>
      </c>
      <c r="J46" s="335"/>
      <c r="K46" s="335"/>
    </row>
    <row r="47" spans="1:11" hidden="1" x14ac:dyDescent="0.2">
      <c r="A47" s="335"/>
      <c r="B47" s="335"/>
      <c r="C47" s="2" t="s">
        <v>363</v>
      </c>
      <c r="D47" s="2" t="s">
        <v>364</v>
      </c>
      <c r="E47" s="2" t="s">
        <v>365</v>
      </c>
      <c r="F47" s="2" t="s">
        <v>363</v>
      </c>
      <c r="G47" s="2" t="s">
        <v>364</v>
      </c>
      <c r="H47" s="2" t="s">
        <v>365</v>
      </c>
      <c r="I47" s="2" t="s">
        <v>363</v>
      </c>
      <c r="J47" s="2" t="s">
        <v>364</v>
      </c>
      <c r="K47" s="2" t="s">
        <v>365</v>
      </c>
    </row>
    <row r="48" spans="1:11" ht="38.25" hidden="1" x14ac:dyDescent="0.2">
      <c r="A48" s="335"/>
      <c r="B48" s="335"/>
      <c r="C48" s="2" t="s">
        <v>79</v>
      </c>
      <c r="D48" s="2" t="s">
        <v>80</v>
      </c>
      <c r="E48" s="2" t="s">
        <v>81</v>
      </c>
      <c r="F48" s="2" t="s">
        <v>79</v>
      </c>
      <c r="G48" s="2" t="s">
        <v>80</v>
      </c>
      <c r="H48" s="2" t="s">
        <v>81</v>
      </c>
      <c r="I48" s="2" t="s">
        <v>79</v>
      </c>
      <c r="J48" s="2" t="s">
        <v>80</v>
      </c>
      <c r="K48" s="2" t="s">
        <v>81</v>
      </c>
    </row>
    <row r="49" spans="1:12" hidden="1" x14ac:dyDescent="0.2">
      <c r="A49" s="2">
        <v>1</v>
      </c>
      <c r="B49" s="2">
        <v>2</v>
      </c>
      <c r="C49" s="2">
        <v>3</v>
      </c>
      <c r="D49" s="2">
        <v>4</v>
      </c>
      <c r="E49" s="2">
        <v>5</v>
      </c>
      <c r="F49" s="2">
        <v>6</v>
      </c>
      <c r="G49" s="2">
        <v>7</v>
      </c>
      <c r="H49" s="2">
        <v>8</v>
      </c>
      <c r="I49" s="2">
        <v>9</v>
      </c>
      <c r="J49" s="2">
        <v>10</v>
      </c>
      <c r="K49" s="2">
        <v>11</v>
      </c>
    </row>
    <row r="50" spans="1:12" hidden="1" x14ac:dyDescent="0.2">
      <c r="A50" s="6"/>
      <c r="B50" s="2">
        <v>1</v>
      </c>
      <c r="C50" s="6">
        <v>1</v>
      </c>
      <c r="D50" s="6"/>
      <c r="E50" s="6"/>
      <c r="F50" s="6">
        <v>1</v>
      </c>
      <c r="G50" s="6"/>
      <c r="H50" s="6"/>
      <c r="I50" s="5"/>
      <c r="J50" s="5"/>
      <c r="K50" s="5"/>
    </row>
    <row r="51" spans="1:12" hidden="1" x14ac:dyDescent="0.2">
      <c r="A51" s="6" t="s">
        <v>137</v>
      </c>
      <c r="B51" s="2">
        <v>9000</v>
      </c>
      <c r="C51" s="2" t="s">
        <v>12</v>
      </c>
      <c r="D51" s="2" t="s">
        <v>12</v>
      </c>
      <c r="E51" s="2" t="s">
        <v>12</v>
      </c>
      <c r="F51" s="2" t="s">
        <v>12</v>
      </c>
      <c r="G51" s="2" t="s">
        <v>12</v>
      </c>
      <c r="H51" s="2" t="s">
        <v>12</v>
      </c>
      <c r="I51" s="5">
        <f>SUM(I50:I50)</f>
        <v>0</v>
      </c>
      <c r="J51" s="5">
        <f>SUM(J50:J50)</f>
        <v>0</v>
      </c>
      <c r="K51" s="5">
        <f>SUM(K50:K50)</f>
        <v>0</v>
      </c>
    </row>
    <row r="53" spans="1:12" x14ac:dyDescent="0.2">
      <c r="A53" s="3" t="s">
        <v>706</v>
      </c>
    </row>
    <row r="54" spans="1:12" x14ac:dyDescent="0.2">
      <c r="A54" s="335" t="s">
        <v>219</v>
      </c>
      <c r="B54" s="335" t="s">
        <v>1</v>
      </c>
      <c r="C54" s="335" t="s">
        <v>269</v>
      </c>
      <c r="D54" s="335"/>
      <c r="E54" s="335"/>
      <c r="F54" s="335" t="s">
        <v>270</v>
      </c>
      <c r="G54" s="335"/>
      <c r="H54" s="335"/>
      <c r="I54" s="335" t="s">
        <v>117</v>
      </c>
      <c r="J54" s="335"/>
      <c r="K54" s="335"/>
    </row>
    <row r="55" spans="1:12" x14ac:dyDescent="0.2">
      <c r="A55" s="335"/>
      <c r="B55" s="335"/>
      <c r="C55" s="296" t="s">
        <v>582</v>
      </c>
      <c r="D55" s="296" t="s">
        <v>614</v>
      </c>
      <c r="E55" s="296" t="s">
        <v>694</v>
      </c>
      <c r="F55" s="296" t="s">
        <v>582</v>
      </c>
      <c r="G55" s="296" t="s">
        <v>614</v>
      </c>
      <c r="H55" s="296" t="s">
        <v>694</v>
      </c>
      <c r="I55" s="296" t="s">
        <v>582</v>
      </c>
      <c r="J55" s="296" t="s">
        <v>614</v>
      </c>
      <c r="K55" s="296" t="s">
        <v>694</v>
      </c>
    </row>
    <row r="56" spans="1:12" ht="38.25" x14ac:dyDescent="0.2">
      <c r="A56" s="335"/>
      <c r="B56" s="335"/>
      <c r="C56" s="2" t="s">
        <v>79</v>
      </c>
      <c r="D56" s="2" t="s">
        <v>80</v>
      </c>
      <c r="E56" s="2" t="s">
        <v>81</v>
      </c>
      <c r="F56" s="2" t="s">
        <v>79</v>
      </c>
      <c r="G56" s="2" t="s">
        <v>80</v>
      </c>
      <c r="H56" s="2" t="s">
        <v>81</v>
      </c>
      <c r="I56" s="2" t="s">
        <v>79</v>
      </c>
      <c r="J56" s="2" t="s">
        <v>80</v>
      </c>
      <c r="K56" s="2" t="s">
        <v>81</v>
      </c>
    </row>
    <row r="57" spans="1:12" x14ac:dyDescent="0.2">
      <c r="A57" s="2">
        <v>1</v>
      </c>
      <c r="B57" s="2">
        <v>2</v>
      </c>
      <c r="C57" s="2">
        <v>3</v>
      </c>
      <c r="D57" s="2">
        <v>4</v>
      </c>
      <c r="E57" s="2">
        <v>5</v>
      </c>
      <c r="F57" s="2">
        <v>6</v>
      </c>
      <c r="G57" s="2">
        <v>7</v>
      </c>
      <c r="H57" s="2">
        <v>8</v>
      </c>
      <c r="I57" s="2">
        <v>9</v>
      </c>
      <c r="J57" s="2">
        <v>10</v>
      </c>
      <c r="K57" s="2">
        <v>11</v>
      </c>
    </row>
    <row r="58" spans="1:12" x14ac:dyDescent="0.2">
      <c r="A58" s="90" t="s">
        <v>705</v>
      </c>
      <c r="B58" s="302" t="s">
        <v>645</v>
      </c>
      <c r="C58" s="6">
        <v>1</v>
      </c>
      <c r="D58" s="6">
        <v>1</v>
      </c>
      <c r="E58" s="6">
        <v>1</v>
      </c>
      <c r="F58" s="6">
        <v>1</v>
      </c>
      <c r="G58" s="6">
        <v>1</v>
      </c>
      <c r="H58" s="6">
        <v>1</v>
      </c>
      <c r="I58" s="5">
        <v>1290000</v>
      </c>
      <c r="J58" s="5">
        <v>2632000</v>
      </c>
      <c r="K58" s="5">
        <v>2632000</v>
      </c>
    </row>
    <row r="59" spans="1:12" hidden="1" x14ac:dyDescent="0.2">
      <c r="A59" s="6"/>
      <c r="B59" s="2">
        <v>2</v>
      </c>
      <c r="C59" s="6">
        <v>1</v>
      </c>
      <c r="D59" s="6"/>
      <c r="E59" s="6"/>
      <c r="F59" s="6">
        <v>1</v>
      </c>
      <c r="G59" s="6"/>
      <c r="H59" s="6"/>
      <c r="I59" s="5"/>
      <c r="J59" s="5"/>
      <c r="K59" s="5"/>
    </row>
    <row r="60" spans="1:12" hidden="1" x14ac:dyDescent="0.2">
      <c r="A60" s="6"/>
      <c r="B60" s="2">
        <v>3</v>
      </c>
      <c r="C60" s="6">
        <v>4</v>
      </c>
      <c r="D60" s="6"/>
      <c r="E60" s="6"/>
      <c r="F60" s="6">
        <v>1</v>
      </c>
      <c r="G60" s="6"/>
      <c r="H60" s="6"/>
      <c r="I60" s="5"/>
      <c r="J60" s="5"/>
      <c r="K60" s="5"/>
    </row>
    <row r="61" spans="1:12" x14ac:dyDescent="0.2">
      <c r="A61" s="6" t="s">
        <v>137</v>
      </c>
      <c r="B61" s="2">
        <v>9000</v>
      </c>
      <c r="C61" s="2" t="s">
        <v>12</v>
      </c>
      <c r="D61" s="2" t="s">
        <v>12</v>
      </c>
      <c r="E61" s="2" t="s">
        <v>12</v>
      </c>
      <c r="F61" s="2" t="s">
        <v>12</v>
      </c>
      <c r="G61" s="2" t="s">
        <v>12</v>
      </c>
      <c r="H61" s="2" t="s">
        <v>12</v>
      </c>
      <c r="I61" s="5">
        <f>SUM(I58:I60)</f>
        <v>1290000</v>
      </c>
      <c r="J61" s="5">
        <f>SUM(J58:J60)</f>
        <v>2632000</v>
      </c>
      <c r="K61" s="5">
        <f>SUM(K58:K60)</f>
        <v>2632000</v>
      </c>
    </row>
    <row r="62" spans="1:12" hidden="1" x14ac:dyDescent="0.2">
      <c r="K62" s="124"/>
      <c r="L62" s="124" t="s">
        <v>522</v>
      </c>
    </row>
    <row r="63" spans="1:12" hidden="1" x14ac:dyDescent="0.2">
      <c r="A63" s="3" t="s">
        <v>478</v>
      </c>
      <c r="I63" s="47"/>
      <c r="J63" s="47"/>
      <c r="K63" s="47"/>
    </row>
    <row r="64" spans="1:12" hidden="1" x14ac:dyDescent="0.2">
      <c r="A64" s="335" t="s">
        <v>219</v>
      </c>
      <c r="B64" s="335" t="s">
        <v>1</v>
      </c>
      <c r="C64" s="335" t="s">
        <v>315</v>
      </c>
      <c r="D64" s="335"/>
      <c r="E64" s="335"/>
      <c r="F64" s="335" t="s">
        <v>316</v>
      </c>
      <c r="G64" s="335"/>
      <c r="H64" s="335"/>
      <c r="I64" s="345" t="s">
        <v>117</v>
      </c>
      <c r="J64" s="345"/>
      <c r="K64" s="345"/>
    </row>
    <row r="65" spans="1:13" hidden="1" x14ac:dyDescent="0.2">
      <c r="A65" s="335"/>
      <c r="B65" s="335"/>
      <c r="C65" s="136" t="s">
        <v>364</v>
      </c>
      <c r="D65" s="136" t="s">
        <v>365</v>
      </c>
      <c r="E65" s="136" t="s">
        <v>519</v>
      </c>
      <c r="F65" s="136" t="s">
        <v>364</v>
      </c>
      <c r="G65" s="136" t="s">
        <v>365</v>
      </c>
      <c r="H65" s="136" t="s">
        <v>519</v>
      </c>
      <c r="I65" s="136" t="s">
        <v>364</v>
      </c>
      <c r="J65" s="136" t="s">
        <v>365</v>
      </c>
      <c r="K65" s="136" t="s">
        <v>519</v>
      </c>
    </row>
    <row r="66" spans="1:13" ht="38.25" hidden="1" x14ac:dyDescent="0.2">
      <c r="A66" s="335"/>
      <c r="B66" s="335"/>
      <c r="C66" s="95" t="s">
        <v>79</v>
      </c>
      <c r="D66" s="95" t="s">
        <v>80</v>
      </c>
      <c r="E66" s="95" t="s">
        <v>81</v>
      </c>
      <c r="F66" s="95" t="s">
        <v>79</v>
      </c>
      <c r="G66" s="95" t="s">
        <v>80</v>
      </c>
      <c r="H66" s="95" t="s">
        <v>81</v>
      </c>
      <c r="I66" s="98" t="s">
        <v>79</v>
      </c>
      <c r="J66" s="98" t="s">
        <v>80</v>
      </c>
      <c r="K66" s="98" t="s">
        <v>81</v>
      </c>
    </row>
    <row r="67" spans="1:13" hidden="1" x14ac:dyDescent="0.2">
      <c r="A67" s="95">
        <v>1</v>
      </c>
      <c r="B67" s="95">
        <v>2</v>
      </c>
      <c r="C67" s="95">
        <v>3</v>
      </c>
      <c r="D67" s="95">
        <v>4</v>
      </c>
      <c r="E67" s="95">
        <v>5</v>
      </c>
      <c r="F67" s="95">
        <v>6</v>
      </c>
      <c r="G67" s="95">
        <v>7</v>
      </c>
      <c r="H67" s="95">
        <v>8</v>
      </c>
      <c r="I67" s="98">
        <v>9</v>
      </c>
      <c r="J67" s="98">
        <v>10</v>
      </c>
      <c r="K67" s="98">
        <v>11</v>
      </c>
    </row>
    <row r="68" spans="1:13" ht="38.25" hidden="1" x14ac:dyDescent="0.2">
      <c r="A68" s="90" t="s">
        <v>479</v>
      </c>
      <c r="B68" s="95">
        <v>1</v>
      </c>
      <c r="C68" s="96">
        <v>50.5</v>
      </c>
      <c r="D68" s="96">
        <v>0</v>
      </c>
      <c r="E68" s="96">
        <v>0</v>
      </c>
      <c r="F68" s="99">
        <f>I68/C68</f>
        <v>0</v>
      </c>
      <c r="G68" s="38">
        <v>0</v>
      </c>
      <c r="H68" s="38">
        <v>0</v>
      </c>
      <c r="I68" s="46"/>
      <c r="J68" s="84">
        <v>0</v>
      </c>
      <c r="K68" s="83">
        <v>0</v>
      </c>
    </row>
    <row r="69" spans="1:13" ht="38.25" hidden="1" x14ac:dyDescent="0.2">
      <c r="A69" s="90" t="s">
        <v>480</v>
      </c>
      <c r="B69" s="95">
        <v>2</v>
      </c>
      <c r="C69" s="96">
        <v>0.5</v>
      </c>
      <c r="D69" s="96">
        <v>0</v>
      </c>
      <c r="E69" s="96">
        <v>0</v>
      </c>
      <c r="F69" s="99">
        <f>I69/C69</f>
        <v>0</v>
      </c>
      <c r="G69" s="38">
        <v>0</v>
      </c>
      <c r="H69" s="38">
        <v>0</v>
      </c>
      <c r="I69" s="97"/>
      <c r="J69" s="84">
        <v>0</v>
      </c>
      <c r="K69" s="83">
        <v>0</v>
      </c>
      <c r="L69" s="124" t="s">
        <v>523</v>
      </c>
    </row>
    <row r="70" spans="1:13" hidden="1" x14ac:dyDescent="0.2">
      <c r="A70" s="90" t="s">
        <v>515</v>
      </c>
      <c r="B70" s="95">
        <v>3</v>
      </c>
      <c r="C70" s="96">
        <v>1</v>
      </c>
      <c r="D70" s="96">
        <v>0</v>
      </c>
      <c r="E70" s="96">
        <v>0</v>
      </c>
      <c r="F70" s="99">
        <v>600000</v>
      </c>
      <c r="G70" s="38">
        <v>0</v>
      </c>
      <c r="H70" s="38">
        <v>0</v>
      </c>
      <c r="I70" s="97"/>
      <c r="J70" s="84">
        <v>0</v>
      </c>
      <c r="K70" s="83">
        <v>0</v>
      </c>
    </row>
    <row r="71" spans="1:13" hidden="1" x14ac:dyDescent="0.2">
      <c r="A71" s="96" t="s">
        <v>137</v>
      </c>
      <c r="B71" s="95">
        <v>9000</v>
      </c>
      <c r="C71" s="95" t="s">
        <v>12</v>
      </c>
      <c r="D71" s="95" t="s">
        <v>12</v>
      </c>
      <c r="E71" s="95" t="s">
        <v>12</v>
      </c>
      <c r="F71" s="7" t="s">
        <v>12</v>
      </c>
      <c r="G71" s="7" t="s">
        <v>12</v>
      </c>
      <c r="H71" s="7" t="s">
        <v>12</v>
      </c>
      <c r="I71" s="97">
        <f>SUM(I68:I69)+I70</f>
        <v>0</v>
      </c>
      <c r="J71" s="97">
        <f>SUM(J68:J69)</f>
        <v>0</v>
      </c>
      <c r="K71" s="97">
        <f>SUM(K68:K69)</f>
        <v>0</v>
      </c>
    </row>
    <row r="72" spans="1:13" x14ac:dyDescent="0.2">
      <c r="L72" s="124" t="s">
        <v>523</v>
      </c>
      <c r="M72" s="124"/>
    </row>
    <row r="73" spans="1:13" x14ac:dyDescent="0.2">
      <c r="A73" s="3" t="s">
        <v>704</v>
      </c>
      <c r="L73" s="124" t="s">
        <v>523</v>
      </c>
      <c r="M73" s="124"/>
    </row>
    <row r="74" spans="1:13" x14ac:dyDescent="0.2">
      <c r="A74" s="335" t="s">
        <v>219</v>
      </c>
      <c r="B74" s="335" t="s">
        <v>1</v>
      </c>
      <c r="C74" s="335" t="s">
        <v>315</v>
      </c>
      <c r="D74" s="335"/>
      <c r="E74" s="335"/>
      <c r="F74" s="335" t="s">
        <v>316</v>
      </c>
      <c r="G74" s="335"/>
      <c r="H74" s="335"/>
      <c r="I74" s="345" t="s">
        <v>117</v>
      </c>
      <c r="J74" s="345"/>
      <c r="K74" s="345"/>
      <c r="L74" s="124"/>
      <c r="M74" s="124"/>
    </row>
    <row r="75" spans="1:13" x14ac:dyDescent="0.2">
      <c r="A75" s="335"/>
      <c r="B75" s="335"/>
      <c r="C75" s="296" t="s">
        <v>582</v>
      </c>
      <c r="D75" s="296" t="s">
        <v>614</v>
      </c>
      <c r="E75" s="296" t="s">
        <v>694</v>
      </c>
      <c r="F75" s="296" t="s">
        <v>582</v>
      </c>
      <c r="G75" s="296" t="s">
        <v>614</v>
      </c>
      <c r="H75" s="296" t="s">
        <v>694</v>
      </c>
      <c r="I75" s="296" t="s">
        <v>582</v>
      </c>
      <c r="J75" s="296" t="s">
        <v>614</v>
      </c>
      <c r="K75" s="296" t="s">
        <v>694</v>
      </c>
      <c r="L75" s="124"/>
      <c r="M75" s="124"/>
    </row>
    <row r="76" spans="1:13" ht="38.25" x14ac:dyDescent="0.2">
      <c r="A76" s="335"/>
      <c r="B76" s="335"/>
      <c r="C76" s="95" t="s">
        <v>79</v>
      </c>
      <c r="D76" s="95" t="s">
        <v>80</v>
      </c>
      <c r="E76" s="95" t="s">
        <v>81</v>
      </c>
      <c r="F76" s="95" t="s">
        <v>79</v>
      </c>
      <c r="G76" s="95" t="s">
        <v>80</v>
      </c>
      <c r="H76" s="95" t="s">
        <v>81</v>
      </c>
      <c r="I76" s="98" t="s">
        <v>79</v>
      </c>
      <c r="J76" s="98" t="s">
        <v>80</v>
      </c>
      <c r="K76" s="98" t="s">
        <v>81</v>
      </c>
      <c r="L76" s="124"/>
      <c r="M76" s="124"/>
    </row>
    <row r="77" spans="1:13" x14ac:dyDescent="0.2">
      <c r="A77" s="95">
        <v>1</v>
      </c>
      <c r="B77" s="95">
        <v>2</v>
      </c>
      <c r="C77" s="95">
        <v>3</v>
      </c>
      <c r="D77" s="95">
        <v>4</v>
      </c>
      <c r="E77" s="95">
        <v>5</v>
      </c>
      <c r="F77" s="95">
        <v>6</v>
      </c>
      <c r="G77" s="95">
        <v>7</v>
      </c>
      <c r="H77" s="95">
        <v>8</v>
      </c>
      <c r="I77" s="98">
        <v>9</v>
      </c>
      <c r="J77" s="98">
        <v>10</v>
      </c>
      <c r="K77" s="98">
        <v>11</v>
      </c>
      <c r="L77" s="124"/>
      <c r="M77" s="124"/>
    </row>
    <row r="78" spans="1:13" x14ac:dyDescent="0.2">
      <c r="A78" s="175" t="s">
        <v>705</v>
      </c>
      <c r="B78" s="266" t="s">
        <v>645</v>
      </c>
      <c r="C78" s="28">
        <v>1</v>
      </c>
      <c r="D78" s="28">
        <v>1</v>
      </c>
      <c r="E78" s="28">
        <v>1</v>
      </c>
      <c r="F78" s="63">
        <f>I78/C78</f>
        <v>13051</v>
      </c>
      <c r="G78" s="176">
        <v>27080</v>
      </c>
      <c r="H78" s="176">
        <v>27080</v>
      </c>
      <c r="I78" s="177">
        <v>13051</v>
      </c>
      <c r="J78" s="178">
        <v>27080</v>
      </c>
      <c r="K78" s="178">
        <v>27080</v>
      </c>
      <c r="L78" s="124"/>
      <c r="M78" s="124"/>
    </row>
    <row r="79" spans="1:13" hidden="1" x14ac:dyDescent="0.2">
      <c r="A79" s="175" t="s">
        <v>562</v>
      </c>
      <c r="B79" s="266" t="s">
        <v>646</v>
      </c>
      <c r="C79" s="28">
        <v>1</v>
      </c>
      <c r="D79" s="28">
        <v>0</v>
      </c>
      <c r="E79" s="28">
        <v>0</v>
      </c>
      <c r="F79" s="179">
        <v>251457.6</v>
      </c>
      <c r="G79" s="176">
        <v>0</v>
      </c>
      <c r="H79" s="176">
        <v>0</v>
      </c>
      <c r="I79" s="177"/>
      <c r="J79" s="178">
        <v>0</v>
      </c>
      <c r="K79" s="178">
        <v>0</v>
      </c>
      <c r="L79" s="124"/>
      <c r="M79" s="124"/>
    </row>
    <row r="80" spans="1:13" hidden="1" x14ac:dyDescent="0.2">
      <c r="A80" s="175" t="s">
        <v>551</v>
      </c>
      <c r="B80" s="266" t="s">
        <v>647</v>
      </c>
      <c r="C80" s="28">
        <v>1</v>
      </c>
      <c r="D80" s="28">
        <v>0</v>
      </c>
      <c r="E80" s="28">
        <v>0</v>
      </c>
      <c r="F80" s="179">
        <v>131588</v>
      </c>
      <c r="G80" s="176">
        <v>0</v>
      </c>
      <c r="H80" s="176">
        <v>0</v>
      </c>
      <c r="I80" s="177"/>
      <c r="J80" s="178">
        <v>0</v>
      </c>
      <c r="K80" s="178">
        <v>0</v>
      </c>
      <c r="L80" s="124"/>
      <c r="M80" s="124"/>
    </row>
    <row r="81" spans="1:13" hidden="1" x14ac:dyDescent="0.2">
      <c r="A81" s="175" t="s">
        <v>574</v>
      </c>
      <c r="B81" s="266" t="s">
        <v>648</v>
      </c>
      <c r="C81" s="28">
        <v>1</v>
      </c>
      <c r="D81" s="28">
        <v>0</v>
      </c>
      <c r="E81" s="28">
        <v>0</v>
      </c>
      <c r="F81" s="179">
        <v>29805.119999999999</v>
      </c>
      <c r="G81" s="176">
        <v>0</v>
      </c>
      <c r="H81" s="176">
        <v>0</v>
      </c>
      <c r="I81" s="177"/>
      <c r="J81" s="178">
        <v>0</v>
      </c>
      <c r="K81" s="178">
        <v>0</v>
      </c>
      <c r="L81" s="124"/>
      <c r="M81" s="124"/>
    </row>
    <row r="82" spans="1:13" hidden="1" x14ac:dyDescent="0.2">
      <c r="A82" s="90" t="s">
        <v>560</v>
      </c>
      <c r="B82" s="266" t="s">
        <v>649</v>
      </c>
      <c r="C82" s="96">
        <v>1</v>
      </c>
      <c r="D82" s="96">
        <v>0</v>
      </c>
      <c r="E82" s="96">
        <v>0</v>
      </c>
      <c r="F82" s="99">
        <f>I82/C82</f>
        <v>0</v>
      </c>
      <c r="G82" s="38">
        <v>0</v>
      </c>
      <c r="H82" s="38">
        <v>0</v>
      </c>
      <c r="I82" s="46"/>
      <c r="J82" s="84">
        <v>0</v>
      </c>
      <c r="K82" s="83">
        <v>0</v>
      </c>
      <c r="L82" s="124"/>
      <c r="M82" s="124"/>
    </row>
    <row r="83" spans="1:13" hidden="1" x14ac:dyDescent="0.2">
      <c r="A83" s="90" t="s">
        <v>475</v>
      </c>
      <c r="B83" s="95">
        <v>2</v>
      </c>
      <c r="C83" s="96">
        <v>1</v>
      </c>
      <c r="D83" s="96">
        <v>0</v>
      </c>
      <c r="E83" s="96">
        <v>0</v>
      </c>
      <c r="F83" s="99">
        <f>I83/C83</f>
        <v>0</v>
      </c>
      <c r="G83" s="38">
        <v>0</v>
      </c>
      <c r="H83" s="38">
        <v>0</v>
      </c>
      <c r="I83" s="46"/>
      <c r="J83" s="84">
        <v>0</v>
      </c>
      <c r="K83" s="83">
        <v>0</v>
      </c>
      <c r="L83" s="124"/>
      <c r="M83" s="124"/>
    </row>
    <row r="84" spans="1:13" hidden="1" x14ac:dyDescent="0.2">
      <c r="A84" s="90" t="s">
        <v>476</v>
      </c>
      <c r="B84" s="95">
        <v>3</v>
      </c>
      <c r="C84" s="96">
        <v>1</v>
      </c>
      <c r="D84" s="96">
        <v>0</v>
      </c>
      <c r="E84" s="96">
        <v>0</v>
      </c>
      <c r="F84" s="99">
        <v>205000</v>
      </c>
      <c r="G84" s="38">
        <v>0</v>
      </c>
      <c r="H84" s="38">
        <v>0</v>
      </c>
      <c r="I84" s="46"/>
      <c r="J84" s="84">
        <v>0</v>
      </c>
      <c r="K84" s="83">
        <v>0</v>
      </c>
      <c r="L84" s="124"/>
      <c r="M84" s="124"/>
    </row>
    <row r="85" spans="1:13" ht="25.5" hidden="1" x14ac:dyDescent="0.2">
      <c r="A85" s="90" t="s">
        <v>516</v>
      </c>
      <c r="B85" s="119">
        <v>4</v>
      </c>
      <c r="C85" s="120">
        <v>1</v>
      </c>
      <c r="D85" s="120">
        <v>0</v>
      </c>
      <c r="E85" s="120">
        <v>0</v>
      </c>
      <c r="F85" s="121">
        <v>276450</v>
      </c>
      <c r="G85" s="38">
        <v>0</v>
      </c>
      <c r="H85" s="38">
        <v>0</v>
      </c>
      <c r="I85" s="46"/>
      <c r="J85" s="84"/>
      <c r="K85" s="83"/>
      <c r="L85" s="124"/>
      <c r="M85" s="124"/>
    </row>
    <row r="86" spans="1:13" ht="25.5" hidden="1" x14ac:dyDescent="0.2">
      <c r="A86" s="90" t="s">
        <v>477</v>
      </c>
      <c r="B86" s="95">
        <v>5</v>
      </c>
      <c r="C86" s="96">
        <v>1</v>
      </c>
      <c r="D86" s="96">
        <v>0</v>
      </c>
      <c r="E86" s="96">
        <v>0</v>
      </c>
      <c r="F86" s="99">
        <v>56000</v>
      </c>
      <c r="G86" s="38">
        <v>0</v>
      </c>
      <c r="H86" s="38">
        <v>0</v>
      </c>
      <c r="I86" s="97"/>
      <c r="J86" s="84">
        <v>0</v>
      </c>
      <c r="K86" s="83">
        <v>0</v>
      </c>
      <c r="L86" s="124"/>
      <c r="M86" s="124"/>
    </row>
    <row r="87" spans="1:13" x14ac:dyDescent="0.2">
      <c r="A87" s="96" t="s">
        <v>137</v>
      </c>
      <c r="B87" s="95">
        <v>9000</v>
      </c>
      <c r="C87" s="95" t="s">
        <v>12</v>
      </c>
      <c r="D87" s="95" t="s">
        <v>12</v>
      </c>
      <c r="E87" s="95" t="s">
        <v>12</v>
      </c>
      <c r="F87" s="7" t="s">
        <v>12</v>
      </c>
      <c r="G87" s="7" t="s">
        <v>12</v>
      </c>
      <c r="H87" s="7" t="s">
        <v>12</v>
      </c>
      <c r="I87" s="97">
        <f>SUM(I82:I86)+I78+I79+I80+I81</f>
        <v>13051</v>
      </c>
      <c r="J87" s="295">
        <f t="shared" ref="J87:K87" si="0">SUM(J82:J86)+J78+J79+J80+J81</f>
        <v>27080</v>
      </c>
      <c r="K87" s="295">
        <f t="shared" si="0"/>
        <v>27080</v>
      </c>
      <c r="L87" s="124"/>
      <c r="M87" s="124"/>
    </row>
    <row r="88" spans="1:13" x14ac:dyDescent="0.2">
      <c r="L88" s="124" t="s">
        <v>524</v>
      </c>
      <c r="M88" s="124"/>
    </row>
    <row r="89" spans="1:13" x14ac:dyDescent="0.2">
      <c r="L89" s="124" t="s">
        <v>590</v>
      </c>
      <c r="M89" s="124"/>
    </row>
  </sheetData>
  <mergeCells count="35">
    <mergeCell ref="A46:A48"/>
    <mergeCell ref="B46:B48"/>
    <mergeCell ref="C46:E46"/>
    <mergeCell ref="F46:H46"/>
    <mergeCell ref="I54:K54"/>
    <mergeCell ref="A54:A56"/>
    <mergeCell ref="B54:B56"/>
    <mergeCell ref="C54:E54"/>
    <mergeCell ref="F54:H54"/>
    <mergeCell ref="I46:K46"/>
    <mergeCell ref="A38:A40"/>
    <mergeCell ref="B38:B40"/>
    <mergeCell ref="C38:E38"/>
    <mergeCell ref="F38:H38"/>
    <mergeCell ref="I38:K38"/>
    <mergeCell ref="I29:K29"/>
    <mergeCell ref="A4:A6"/>
    <mergeCell ref="B4:B6"/>
    <mergeCell ref="C4:E4"/>
    <mergeCell ref="F4:H4"/>
    <mergeCell ref="I4:K4"/>
    <mergeCell ref="A29:A31"/>
    <mergeCell ref="B29:B31"/>
    <mergeCell ref="C29:E29"/>
    <mergeCell ref="F29:H29"/>
    <mergeCell ref="A64:A66"/>
    <mergeCell ref="B64:B66"/>
    <mergeCell ref="C64:E64"/>
    <mergeCell ref="F64:H64"/>
    <mergeCell ref="I64:K64"/>
    <mergeCell ref="A74:A76"/>
    <mergeCell ref="B74:B76"/>
    <mergeCell ref="C74:E74"/>
    <mergeCell ref="F74:H74"/>
    <mergeCell ref="I74:K74"/>
  </mergeCells>
  <phoneticPr fontId="12" type="noConversion"/>
  <pageMargins left="0.7" right="0.7" top="0.75" bottom="0.75" header="0.3" footer="0.3"/>
  <pageSetup paperSize="9" scale="69" orientation="landscape" r:id="rId1"/>
  <rowBreaks count="1" manualBreakCount="1">
    <brk id="36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Normal="100" workbookViewId="0">
      <selection activeCell="B8" sqref="B8"/>
    </sheetView>
  </sheetViews>
  <sheetFormatPr defaultRowHeight="12.75" x14ac:dyDescent="0.2"/>
  <cols>
    <col min="1" max="1" width="18.5703125" style="3" customWidth="1"/>
    <col min="2" max="2" width="9.140625" style="3"/>
    <col min="3" max="11" width="18.140625" style="3" customWidth="1"/>
    <col min="12" max="16384" width="9.140625" style="3"/>
  </cols>
  <sheetData>
    <row r="1" spans="1:11" x14ac:dyDescent="0.2">
      <c r="A1" s="3" t="s">
        <v>274</v>
      </c>
    </row>
    <row r="2" spans="1:11" ht="82.5" customHeight="1" x14ac:dyDescent="0.2">
      <c r="A2" s="335" t="s">
        <v>219</v>
      </c>
      <c r="B2" s="335" t="s">
        <v>1</v>
      </c>
      <c r="C2" s="335" t="s">
        <v>272</v>
      </c>
      <c r="D2" s="335"/>
      <c r="E2" s="335"/>
      <c r="F2" s="335" t="s">
        <v>273</v>
      </c>
      <c r="G2" s="335"/>
      <c r="H2" s="335"/>
      <c r="I2" s="335" t="s">
        <v>117</v>
      </c>
      <c r="J2" s="335"/>
      <c r="K2" s="335"/>
    </row>
    <row r="3" spans="1:11" x14ac:dyDescent="0.2">
      <c r="A3" s="335"/>
      <c r="B3" s="335"/>
      <c r="C3" s="2" t="s">
        <v>4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</row>
    <row r="4" spans="1:11" ht="25.5" x14ac:dyDescent="0.2">
      <c r="A4" s="335"/>
      <c r="B4" s="335"/>
      <c r="C4" s="2" t="s">
        <v>79</v>
      </c>
      <c r="D4" s="2" t="s">
        <v>80</v>
      </c>
      <c r="E4" s="2" t="s">
        <v>81</v>
      </c>
      <c r="F4" s="2" t="s">
        <v>79</v>
      </c>
      <c r="G4" s="2" t="s">
        <v>80</v>
      </c>
      <c r="H4" s="2" t="s">
        <v>81</v>
      </c>
      <c r="I4" s="2" t="s">
        <v>79</v>
      </c>
      <c r="J4" s="2" t="s">
        <v>80</v>
      </c>
      <c r="K4" s="2" t="s">
        <v>81</v>
      </c>
    </row>
    <row r="5" spans="1:11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x14ac:dyDescent="0.2">
      <c r="A6" s="6"/>
      <c r="B6" s="266" t="s">
        <v>645</v>
      </c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6"/>
      <c r="B7" s="266" t="s">
        <v>646</v>
      </c>
      <c r="C7" s="6"/>
      <c r="D7" s="6"/>
      <c r="E7" s="6"/>
      <c r="F7" s="6"/>
      <c r="G7" s="6"/>
      <c r="H7" s="6"/>
      <c r="I7" s="6"/>
      <c r="J7" s="6"/>
      <c r="K7" s="6"/>
    </row>
    <row r="8" spans="1:1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2">
      <c r="A9" s="6" t="s">
        <v>137</v>
      </c>
      <c r="B9" s="2">
        <v>9000</v>
      </c>
      <c r="C9" s="2" t="s">
        <v>12</v>
      </c>
      <c r="D9" s="2" t="s">
        <v>12</v>
      </c>
      <c r="E9" s="2" t="s">
        <v>12</v>
      </c>
      <c r="F9" s="2" t="s">
        <v>12</v>
      </c>
      <c r="G9" s="2" t="s">
        <v>12</v>
      </c>
      <c r="H9" s="2" t="s">
        <v>12</v>
      </c>
      <c r="I9" s="6"/>
      <c r="J9" s="6"/>
      <c r="K9" s="6"/>
    </row>
  </sheetData>
  <mergeCells count="5">
    <mergeCell ref="I2:K2"/>
    <mergeCell ref="A2:A4"/>
    <mergeCell ref="B2:B4"/>
    <mergeCell ref="C2:E2"/>
    <mergeCell ref="F2:H2"/>
  </mergeCells>
  <phoneticPr fontId="12" type="noConversion"/>
  <pageMargins left="0.7" right="0.7" top="0.75" bottom="0.75" header="0.3" footer="0.3"/>
  <pageSetup paperSize="9" scale="68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Normal="100" workbookViewId="0">
      <selection activeCell="G13" sqref="G13"/>
    </sheetView>
  </sheetViews>
  <sheetFormatPr defaultRowHeight="12.75" x14ac:dyDescent="0.2"/>
  <cols>
    <col min="1" max="1" width="19.5703125" style="3" customWidth="1"/>
    <col min="2" max="2" width="9.140625" style="3"/>
    <col min="3" max="11" width="14.5703125" style="3" customWidth="1"/>
    <col min="12" max="16384" width="9.140625" style="3"/>
  </cols>
  <sheetData>
    <row r="1" spans="1:12" x14ac:dyDescent="0.2">
      <c r="A1" s="3" t="s">
        <v>277</v>
      </c>
    </row>
    <row r="3" spans="1:12" ht="25.5" customHeight="1" x14ac:dyDescent="0.2">
      <c r="A3" s="335" t="s">
        <v>219</v>
      </c>
      <c r="B3" s="335" t="s">
        <v>1</v>
      </c>
      <c r="C3" s="335" t="s">
        <v>275</v>
      </c>
      <c r="D3" s="335"/>
      <c r="E3" s="335"/>
      <c r="F3" s="335" t="s">
        <v>276</v>
      </c>
      <c r="G3" s="335"/>
      <c r="H3" s="335"/>
      <c r="I3" s="335" t="s">
        <v>117</v>
      </c>
      <c r="J3" s="335"/>
      <c r="K3" s="335"/>
    </row>
    <row r="4" spans="1:12" x14ac:dyDescent="0.2">
      <c r="A4" s="335"/>
      <c r="B4" s="335"/>
      <c r="C4" s="290" t="s">
        <v>582</v>
      </c>
      <c r="D4" s="290" t="s">
        <v>614</v>
      </c>
      <c r="E4" s="290" t="s">
        <v>694</v>
      </c>
      <c r="F4" s="290" t="s">
        <v>582</v>
      </c>
      <c r="G4" s="290" t="s">
        <v>614</v>
      </c>
      <c r="H4" s="290" t="s">
        <v>694</v>
      </c>
      <c r="I4" s="290" t="s">
        <v>582</v>
      </c>
      <c r="J4" s="290" t="s">
        <v>614</v>
      </c>
      <c r="K4" s="290" t="s">
        <v>694</v>
      </c>
    </row>
    <row r="5" spans="1:12" ht="38.25" x14ac:dyDescent="0.2">
      <c r="A5" s="335"/>
      <c r="B5" s="335"/>
      <c r="C5" s="2" t="s">
        <v>79</v>
      </c>
      <c r="D5" s="2" t="s">
        <v>80</v>
      </c>
      <c r="E5" s="2" t="s">
        <v>81</v>
      </c>
      <c r="F5" s="2" t="s">
        <v>79</v>
      </c>
      <c r="G5" s="2" t="s">
        <v>80</v>
      </c>
      <c r="H5" s="2" t="s">
        <v>81</v>
      </c>
      <c r="I5" s="2" t="s">
        <v>79</v>
      </c>
      <c r="J5" s="2" t="s">
        <v>80</v>
      </c>
      <c r="K5" s="2" t="s">
        <v>81</v>
      </c>
    </row>
    <row r="6" spans="1:12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2" ht="51" x14ac:dyDescent="0.2">
      <c r="A7" s="6" t="s">
        <v>438</v>
      </c>
      <c r="B7" s="2">
        <v>1</v>
      </c>
      <c r="C7" s="6">
        <v>3</v>
      </c>
      <c r="D7" s="6">
        <v>3</v>
      </c>
      <c r="E7" s="6">
        <v>3</v>
      </c>
      <c r="F7" s="62">
        <f>I7/C7</f>
        <v>3333.3333333333335</v>
      </c>
      <c r="G7" s="62">
        <f t="shared" ref="G7:H8" si="0">J7/D7</f>
        <v>3333.3333333333335</v>
      </c>
      <c r="H7" s="62">
        <f t="shared" si="0"/>
        <v>3333.3333333333335</v>
      </c>
      <c r="I7" s="35">
        <v>10000</v>
      </c>
      <c r="J7" s="35">
        <v>10000</v>
      </c>
      <c r="K7" s="35">
        <v>10000</v>
      </c>
    </row>
    <row r="8" spans="1:12" ht="51" x14ac:dyDescent="0.2">
      <c r="A8" s="6" t="s">
        <v>439</v>
      </c>
      <c r="B8" s="266" t="s">
        <v>645</v>
      </c>
      <c r="C8" s="6">
        <v>6</v>
      </c>
      <c r="D8" s="6">
        <v>6</v>
      </c>
      <c r="E8" s="6">
        <v>6</v>
      </c>
      <c r="F8" s="62">
        <f>I8/C8</f>
        <v>3333.3333333333335</v>
      </c>
      <c r="G8" s="62">
        <f t="shared" si="0"/>
        <v>3333.3333333333335</v>
      </c>
      <c r="H8" s="62">
        <f t="shared" si="0"/>
        <v>3333.3333333333335</v>
      </c>
      <c r="I8" s="35">
        <v>20000</v>
      </c>
      <c r="J8" s="35">
        <v>20000</v>
      </c>
      <c r="K8" s="35">
        <v>20000</v>
      </c>
      <c r="L8" s="124">
        <v>7409</v>
      </c>
    </row>
    <row r="9" spans="1:12" x14ac:dyDescent="0.2">
      <c r="A9" s="6" t="s">
        <v>137</v>
      </c>
      <c r="B9" s="2">
        <v>9000</v>
      </c>
      <c r="C9" s="2" t="s">
        <v>12</v>
      </c>
      <c r="D9" s="2" t="s">
        <v>12</v>
      </c>
      <c r="E9" s="2" t="s">
        <v>12</v>
      </c>
      <c r="F9" s="2" t="s">
        <v>12</v>
      </c>
      <c r="G9" s="2" t="s">
        <v>12</v>
      </c>
      <c r="H9" s="2" t="s">
        <v>12</v>
      </c>
      <c r="I9" s="75">
        <f>SUM(I7:I8)</f>
        <v>30000</v>
      </c>
      <c r="J9" s="75">
        <f>SUM(J7:J8)</f>
        <v>30000</v>
      </c>
      <c r="K9" s="75">
        <f>SUM(K7:K8)</f>
        <v>30000</v>
      </c>
    </row>
  </sheetData>
  <mergeCells count="5">
    <mergeCell ref="I3:K3"/>
    <mergeCell ref="A3:A5"/>
    <mergeCell ref="B3:B5"/>
    <mergeCell ref="C3:E3"/>
    <mergeCell ref="F3:H3"/>
  </mergeCells>
  <phoneticPr fontId="12" type="noConversion"/>
  <pageMargins left="0.7" right="0.7" top="0.75" bottom="0.75" header="0.3" footer="0.3"/>
  <pageSetup paperSize="9" scale="8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opLeftCell="A49" zoomScaleNormal="100" workbookViewId="0">
      <selection activeCell="G98" sqref="G98"/>
    </sheetView>
  </sheetViews>
  <sheetFormatPr defaultRowHeight="12.75" x14ac:dyDescent="0.2"/>
  <cols>
    <col min="1" max="1" width="30" style="3" customWidth="1"/>
    <col min="2" max="2" width="9.140625" style="3"/>
    <col min="3" max="9" width="15.140625" style="3" customWidth="1"/>
    <col min="10" max="16384" width="9.140625" style="3"/>
  </cols>
  <sheetData>
    <row r="1" spans="1:8" x14ac:dyDescent="0.2">
      <c r="A1" s="340" t="s">
        <v>627</v>
      </c>
      <c r="B1" s="340"/>
      <c r="C1" s="340"/>
      <c r="D1" s="340"/>
      <c r="E1" s="340"/>
      <c r="F1" s="340"/>
      <c r="G1" s="340"/>
      <c r="H1" s="340"/>
    </row>
    <row r="2" spans="1:8" x14ac:dyDescent="0.2">
      <c r="A2" s="340"/>
      <c r="B2" s="340"/>
      <c r="C2" s="340"/>
      <c r="D2" s="340"/>
      <c r="E2" s="340"/>
      <c r="F2" s="340"/>
      <c r="G2" s="340"/>
      <c r="H2" s="340"/>
    </row>
    <row r="4" spans="1:8" x14ac:dyDescent="0.2">
      <c r="A4" s="3" t="s">
        <v>440</v>
      </c>
    </row>
    <row r="5" spans="1:8" x14ac:dyDescent="0.2">
      <c r="A5" s="335" t="s">
        <v>219</v>
      </c>
      <c r="B5" s="335" t="s">
        <v>1</v>
      </c>
      <c r="C5" s="335" t="s">
        <v>312</v>
      </c>
      <c r="D5" s="335"/>
      <c r="E5" s="335"/>
      <c r="F5" s="335" t="s">
        <v>313</v>
      </c>
      <c r="G5" s="335"/>
      <c r="H5" s="335"/>
    </row>
    <row r="6" spans="1:8" x14ac:dyDescent="0.2">
      <c r="A6" s="335"/>
      <c r="B6" s="335"/>
      <c r="C6" s="290" t="s">
        <v>582</v>
      </c>
      <c r="D6" s="290" t="s">
        <v>614</v>
      </c>
      <c r="E6" s="290" t="s">
        <v>694</v>
      </c>
      <c r="F6" s="290" t="s">
        <v>582</v>
      </c>
      <c r="G6" s="290" t="s">
        <v>614</v>
      </c>
      <c r="H6" s="290" t="s">
        <v>694</v>
      </c>
    </row>
    <row r="7" spans="1:8" ht="38.25" x14ac:dyDescent="0.2">
      <c r="A7" s="335"/>
      <c r="B7" s="335"/>
      <c r="C7" s="2" t="s">
        <v>79</v>
      </c>
      <c r="D7" s="2" t="s">
        <v>80</v>
      </c>
      <c r="E7" s="2" t="s">
        <v>81</v>
      </c>
      <c r="F7" s="2" t="s">
        <v>79</v>
      </c>
      <c r="G7" s="2" t="s">
        <v>80</v>
      </c>
      <c r="H7" s="2" t="s">
        <v>81</v>
      </c>
    </row>
    <row r="8" spans="1:8" x14ac:dyDescent="0.2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9</v>
      </c>
      <c r="G8" s="2">
        <v>10</v>
      </c>
      <c r="H8" s="2">
        <v>11</v>
      </c>
    </row>
    <row r="9" spans="1:8" ht="25.5" x14ac:dyDescent="0.2">
      <c r="A9" s="90" t="s">
        <v>576</v>
      </c>
      <c r="B9" s="2">
        <v>1</v>
      </c>
      <c r="C9" s="6">
        <v>1</v>
      </c>
      <c r="D9" s="6">
        <v>1</v>
      </c>
      <c r="E9" s="6">
        <v>1</v>
      </c>
      <c r="F9" s="282">
        <v>11000</v>
      </c>
      <c r="G9" s="257">
        <v>11000</v>
      </c>
      <c r="H9" s="257">
        <v>11000</v>
      </c>
    </row>
    <row r="10" spans="1:8" ht="25.5" x14ac:dyDescent="0.2">
      <c r="A10" s="6" t="s">
        <v>381</v>
      </c>
      <c r="B10" s="2">
        <f>B9+1</f>
        <v>2</v>
      </c>
      <c r="C10" s="6">
        <v>1</v>
      </c>
      <c r="D10" s="6">
        <v>1</v>
      </c>
      <c r="E10" s="6">
        <v>1</v>
      </c>
      <c r="F10" s="282">
        <v>26000</v>
      </c>
      <c r="G10" s="257">
        <v>26000</v>
      </c>
      <c r="H10" s="257">
        <v>26000</v>
      </c>
    </row>
    <row r="11" spans="1:8" ht="25.5" x14ac:dyDescent="0.2">
      <c r="A11" s="6" t="s">
        <v>378</v>
      </c>
      <c r="B11" s="2">
        <f>B10+1</f>
        <v>3</v>
      </c>
      <c r="C11" s="6">
        <v>1</v>
      </c>
      <c r="D11" s="6">
        <v>1</v>
      </c>
      <c r="E11" s="6">
        <v>1</v>
      </c>
      <c r="F11" s="282">
        <v>24000</v>
      </c>
      <c r="G11" s="257">
        <v>24000</v>
      </c>
      <c r="H11" s="257">
        <v>24000</v>
      </c>
    </row>
    <row r="12" spans="1:8" ht="25.5" x14ac:dyDescent="0.2">
      <c r="A12" s="6" t="s">
        <v>382</v>
      </c>
      <c r="B12" s="2">
        <f t="shared" ref="B12:B24" si="0">B11+1</f>
        <v>4</v>
      </c>
      <c r="C12" s="6">
        <v>1</v>
      </c>
      <c r="D12" s="6">
        <v>1</v>
      </c>
      <c r="E12" s="6">
        <v>1</v>
      </c>
      <c r="F12" s="282">
        <v>63000</v>
      </c>
      <c r="G12" s="257">
        <v>63000</v>
      </c>
      <c r="H12" s="257">
        <v>63000</v>
      </c>
    </row>
    <row r="13" spans="1:8" x14ac:dyDescent="0.2">
      <c r="A13" s="6" t="s">
        <v>383</v>
      </c>
      <c r="B13" s="2">
        <f t="shared" si="0"/>
        <v>5</v>
      </c>
      <c r="C13" s="6">
        <v>1</v>
      </c>
      <c r="D13" s="6">
        <v>1</v>
      </c>
      <c r="E13" s="6">
        <v>1</v>
      </c>
      <c r="F13" s="282">
        <v>151200</v>
      </c>
      <c r="G13" s="257">
        <v>151200</v>
      </c>
      <c r="H13" s="257">
        <v>151200</v>
      </c>
    </row>
    <row r="14" spans="1:8" ht="38.25" x14ac:dyDescent="0.2">
      <c r="A14" s="6" t="s">
        <v>379</v>
      </c>
      <c r="B14" s="2">
        <f t="shared" si="0"/>
        <v>6</v>
      </c>
      <c r="C14" s="6">
        <v>1</v>
      </c>
      <c r="D14" s="6">
        <v>1</v>
      </c>
      <c r="E14" s="6">
        <v>1</v>
      </c>
      <c r="F14" s="282">
        <v>15000</v>
      </c>
      <c r="G14" s="257">
        <v>15000</v>
      </c>
      <c r="H14" s="257">
        <v>15000</v>
      </c>
    </row>
    <row r="15" spans="1:8" hidden="1" x14ac:dyDescent="0.2">
      <c r="A15" s="6" t="s">
        <v>380</v>
      </c>
      <c r="B15" s="2">
        <f t="shared" si="0"/>
        <v>7</v>
      </c>
      <c r="C15" s="6">
        <v>1</v>
      </c>
      <c r="D15" s="6">
        <v>1</v>
      </c>
      <c r="E15" s="6">
        <v>1</v>
      </c>
      <c r="F15" s="282">
        <v>0</v>
      </c>
      <c r="G15" s="257"/>
      <c r="H15" s="257"/>
    </row>
    <row r="16" spans="1:8" ht="25.5" x14ac:dyDescent="0.2">
      <c r="A16" s="6" t="s">
        <v>384</v>
      </c>
      <c r="B16" s="2">
        <v>7</v>
      </c>
      <c r="C16" s="6">
        <v>1</v>
      </c>
      <c r="D16" s="6">
        <v>1</v>
      </c>
      <c r="E16" s="6">
        <v>1</v>
      </c>
      <c r="F16" s="282">
        <v>50000</v>
      </c>
      <c r="G16" s="257">
        <v>50000</v>
      </c>
      <c r="H16" s="257">
        <v>50000</v>
      </c>
    </row>
    <row r="17" spans="1:8" ht="25.5" hidden="1" x14ac:dyDescent="0.2">
      <c r="A17" s="6" t="s">
        <v>324</v>
      </c>
      <c r="B17" s="2">
        <f t="shared" si="0"/>
        <v>8</v>
      </c>
      <c r="C17" s="6">
        <v>1</v>
      </c>
      <c r="D17" s="6">
        <v>1</v>
      </c>
      <c r="E17" s="6">
        <v>1</v>
      </c>
      <c r="F17" s="257">
        <v>0</v>
      </c>
      <c r="G17" s="257">
        <v>0</v>
      </c>
      <c r="H17" s="257">
        <v>0</v>
      </c>
    </row>
    <row r="18" spans="1:8" hidden="1" x14ac:dyDescent="0.2">
      <c r="A18" s="6" t="s">
        <v>325</v>
      </c>
      <c r="B18" s="2">
        <f t="shared" si="0"/>
        <v>9</v>
      </c>
      <c r="C18" s="6">
        <v>0</v>
      </c>
      <c r="D18" s="6">
        <v>0</v>
      </c>
      <c r="E18" s="6">
        <v>0</v>
      </c>
      <c r="F18" s="257">
        <v>0</v>
      </c>
      <c r="G18" s="257">
        <v>0</v>
      </c>
      <c r="H18" s="257">
        <v>0</v>
      </c>
    </row>
    <row r="19" spans="1:8" hidden="1" x14ac:dyDescent="0.2">
      <c r="A19" s="6" t="s">
        <v>326</v>
      </c>
      <c r="B19" s="2">
        <f t="shared" si="0"/>
        <v>10</v>
      </c>
      <c r="C19" s="6">
        <v>1</v>
      </c>
      <c r="D19" s="6">
        <v>1</v>
      </c>
      <c r="E19" s="6">
        <v>1</v>
      </c>
      <c r="F19" s="257"/>
      <c r="G19" s="257"/>
      <c r="H19" s="257"/>
    </row>
    <row r="20" spans="1:8" hidden="1" x14ac:dyDescent="0.2">
      <c r="A20" s="90"/>
      <c r="B20" s="95">
        <v>9</v>
      </c>
      <c r="C20" s="96">
        <v>1</v>
      </c>
      <c r="D20" s="96">
        <v>0</v>
      </c>
      <c r="E20" s="96">
        <v>0</v>
      </c>
      <c r="F20" s="257"/>
      <c r="G20" s="257">
        <v>0</v>
      </c>
      <c r="H20" s="257">
        <v>0</v>
      </c>
    </row>
    <row r="21" spans="1:8" hidden="1" x14ac:dyDescent="0.2">
      <c r="A21" s="90"/>
      <c r="B21" s="95">
        <v>10</v>
      </c>
      <c r="C21" s="96">
        <v>2</v>
      </c>
      <c r="D21" s="96">
        <v>0</v>
      </c>
      <c r="E21" s="96">
        <v>0</v>
      </c>
      <c r="F21" s="257"/>
      <c r="G21" s="257">
        <v>0</v>
      </c>
      <c r="H21" s="257">
        <v>0</v>
      </c>
    </row>
    <row r="22" spans="1:8" hidden="1" x14ac:dyDescent="0.2">
      <c r="A22" s="90"/>
      <c r="B22" s="95">
        <v>12</v>
      </c>
      <c r="C22" s="96">
        <v>1</v>
      </c>
      <c r="D22" s="96">
        <v>0</v>
      </c>
      <c r="E22" s="96">
        <v>0</v>
      </c>
      <c r="F22" s="257"/>
      <c r="G22" s="257"/>
      <c r="H22" s="257"/>
    </row>
    <row r="23" spans="1:8" hidden="1" x14ac:dyDescent="0.2">
      <c r="A23" s="90"/>
      <c r="B23" s="2">
        <v>13</v>
      </c>
      <c r="C23" s="6">
        <v>1</v>
      </c>
      <c r="D23" s="6">
        <v>0</v>
      </c>
      <c r="E23" s="6">
        <v>0</v>
      </c>
      <c r="F23" s="257"/>
      <c r="G23" s="257">
        <v>0</v>
      </c>
      <c r="H23" s="257">
        <v>0</v>
      </c>
    </row>
    <row r="24" spans="1:8" ht="25.5" hidden="1" x14ac:dyDescent="0.2">
      <c r="A24" s="6" t="s">
        <v>327</v>
      </c>
      <c r="B24" s="2">
        <f t="shared" si="0"/>
        <v>14</v>
      </c>
      <c r="C24" s="6">
        <v>1</v>
      </c>
      <c r="D24" s="6"/>
      <c r="E24" s="6"/>
      <c r="F24" s="257"/>
      <c r="G24" s="257"/>
      <c r="H24" s="257"/>
    </row>
    <row r="25" spans="1:8" ht="25.5" hidden="1" x14ac:dyDescent="0.2">
      <c r="A25" s="90" t="s">
        <v>575</v>
      </c>
      <c r="B25" s="187">
        <v>9</v>
      </c>
      <c r="C25" s="188">
        <v>1</v>
      </c>
      <c r="D25" s="188">
        <v>0</v>
      </c>
      <c r="E25" s="188">
        <v>0</v>
      </c>
      <c r="F25" s="257"/>
      <c r="G25" s="257">
        <v>0</v>
      </c>
      <c r="H25" s="257">
        <v>0</v>
      </c>
    </row>
    <row r="26" spans="1:8" x14ac:dyDescent="0.2">
      <c r="A26" s="6" t="s">
        <v>137</v>
      </c>
      <c r="B26" s="2">
        <v>9000</v>
      </c>
      <c r="C26" s="2" t="s">
        <v>12</v>
      </c>
      <c r="D26" s="2" t="s">
        <v>12</v>
      </c>
      <c r="E26" s="2" t="s">
        <v>12</v>
      </c>
      <c r="F26" s="257">
        <f>SUM(F9:F25)</f>
        <v>340200</v>
      </c>
      <c r="G26" s="257">
        <f>SUM(G9:G24)</f>
        <v>340200</v>
      </c>
      <c r="H26" s="257">
        <f>SUM(H9:H24)</f>
        <v>340200</v>
      </c>
    </row>
    <row r="27" spans="1:8" x14ac:dyDescent="0.2">
      <c r="F27" s="47"/>
      <c r="G27" s="47"/>
      <c r="H27" s="47"/>
    </row>
    <row r="28" spans="1:8" ht="25.5" hidden="1" x14ac:dyDescent="0.2">
      <c r="A28" s="30" t="s">
        <v>330</v>
      </c>
      <c r="F28" s="47"/>
      <c r="G28" s="47"/>
      <c r="H28" s="47"/>
    </row>
    <row r="29" spans="1:8" hidden="1" x14ac:dyDescent="0.2">
      <c r="A29" s="335" t="s">
        <v>219</v>
      </c>
      <c r="B29" s="335" t="s">
        <v>1</v>
      </c>
      <c r="C29" s="335" t="s">
        <v>312</v>
      </c>
      <c r="D29" s="335"/>
      <c r="E29" s="335"/>
      <c r="F29" s="345" t="s">
        <v>313</v>
      </c>
      <c r="G29" s="345"/>
      <c r="H29" s="345"/>
    </row>
    <row r="30" spans="1:8" hidden="1" x14ac:dyDescent="0.2">
      <c r="A30" s="335"/>
      <c r="B30" s="335"/>
      <c r="C30" s="2" t="s">
        <v>363</v>
      </c>
      <c r="D30" s="2" t="s">
        <v>364</v>
      </c>
      <c r="E30" s="2" t="s">
        <v>365</v>
      </c>
      <c r="F30" s="258" t="s">
        <v>363</v>
      </c>
      <c r="G30" s="258" t="s">
        <v>364</v>
      </c>
      <c r="H30" s="258" t="s">
        <v>365</v>
      </c>
    </row>
    <row r="31" spans="1:8" ht="38.25" hidden="1" x14ac:dyDescent="0.2">
      <c r="A31" s="335"/>
      <c r="B31" s="335"/>
      <c r="C31" s="2" t="s">
        <v>79</v>
      </c>
      <c r="D31" s="2" t="s">
        <v>80</v>
      </c>
      <c r="E31" s="2" t="s">
        <v>81</v>
      </c>
      <c r="F31" s="258" t="s">
        <v>79</v>
      </c>
      <c r="G31" s="258" t="s">
        <v>80</v>
      </c>
      <c r="H31" s="258" t="s">
        <v>81</v>
      </c>
    </row>
    <row r="32" spans="1:8" hidden="1" x14ac:dyDescent="0.2">
      <c r="A32" s="2">
        <v>1</v>
      </c>
      <c r="B32" s="2">
        <v>2</v>
      </c>
      <c r="C32" s="2">
        <v>3</v>
      </c>
      <c r="D32" s="2">
        <v>4</v>
      </c>
      <c r="E32" s="2">
        <v>5</v>
      </c>
      <c r="F32" s="258">
        <v>9</v>
      </c>
      <c r="G32" s="258">
        <v>10</v>
      </c>
      <c r="H32" s="258">
        <v>11</v>
      </c>
    </row>
    <row r="33" spans="1:8" hidden="1" x14ac:dyDescent="0.2">
      <c r="A33" s="6" t="s">
        <v>323</v>
      </c>
      <c r="B33" s="2">
        <v>1</v>
      </c>
      <c r="C33" s="6">
        <v>1</v>
      </c>
      <c r="D33" s="6"/>
      <c r="E33" s="6"/>
      <c r="F33" s="257"/>
      <c r="G33" s="257"/>
      <c r="H33" s="257"/>
    </row>
    <row r="34" spans="1:8" hidden="1" x14ac:dyDescent="0.2">
      <c r="A34" s="6" t="s">
        <v>137</v>
      </c>
      <c r="B34" s="2">
        <v>9000</v>
      </c>
      <c r="C34" s="2" t="s">
        <v>12</v>
      </c>
      <c r="D34" s="2" t="s">
        <v>12</v>
      </c>
      <c r="E34" s="2" t="s">
        <v>12</v>
      </c>
      <c r="F34" s="257">
        <f>SUM(F33:F33)</f>
        <v>0</v>
      </c>
      <c r="G34" s="257">
        <f>SUM(G33:G33)</f>
        <v>0</v>
      </c>
      <c r="H34" s="257">
        <f>SUM(H33:H33)</f>
        <v>0</v>
      </c>
    </row>
    <row r="35" spans="1:8" x14ac:dyDescent="0.2">
      <c r="F35" s="47"/>
      <c r="G35" s="47"/>
      <c r="H35" s="47"/>
    </row>
    <row r="36" spans="1:8" x14ac:dyDescent="0.2">
      <c r="A36" s="3" t="s">
        <v>441</v>
      </c>
      <c r="F36" s="47"/>
      <c r="G36" s="47"/>
      <c r="H36" s="47"/>
    </row>
    <row r="37" spans="1:8" x14ac:dyDescent="0.2">
      <c r="A37" s="335" t="s">
        <v>219</v>
      </c>
      <c r="B37" s="335" t="s">
        <v>1</v>
      </c>
      <c r="C37" s="335" t="s">
        <v>312</v>
      </c>
      <c r="D37" s="335"/>
      <c r="E37" s="335"/>
      <c r="F37" s="345" t="s">
        <v>313</v>
      </c>
      <c r="G37" s="345"/>
      <c r="H37" s="345"/>
    </row>
    <row r="38" spans="1:8" x14ac:dyDescent="0.2">
      <c r="A38" s="335"/>
      <c r="B38" s="335"/>
      <c r="C38" s="290" t="s">
        <v>582</v>
      </c>
      <c r="D38" s="290" t="s">
        <v>614</v>
      </c>
      <c r="E38" s="290" t="s">
        <v>694</v>
      </c>
      <c r="F38" s="290" t="s">
        <v>582</v>
      </c>
      <c r="G38" s="290" t="s">
        <v>614</v>
      </c>
      <c r="H38" s="290" t="s">
        <v>694</v>
      </c>
    </row>
    <row r="39" spans="1:8" ht="38.25" x14ac:dyDescent="0.2">
      <c r="A39" s="335"/>
      <c r="B39" s="335"/>
      <c r="C39" s="2" t="s">
        <v>79</v>
      </c>
      <c r="D39" s="2" t="s">
        <v>80</v>
      </c>
      <c r="E39" s="2" t="s">
        <v>81</v>
      </c>
      <c r="F39" s="258" t="s">
        <v>79</v>
      </c>
      <c r="G39" s="258" t="s">
        <v>80</v>
      </c>
      <c r="H39" s="258" t="s">
        <v>81</v>
      </c>
    </row>
    <row r="40" spans="1:8" x14ac:dyDescent="0.2">
      <c r="A40" s="2">
        <v>1</v>
      </c>
      <c r="B40" s="2">
        <v>2</v>
      </c>
      <c r="C40" s="2">
        <v>3</v>
      </c>
      <c r="D40" s="2">
        <v>4</v>
      </c>
      <c r="E40" s="2">
        <v>5</v>
      </c>
      <c r="F40" s="258">
        <v>9</v>
      </c>
      <c r="G40" s="258">
        <v>10</v>
      </c>
      <c r="H40" s="258">
        <v>11</v>
      </c>
    </row>
    <row r="41" spans="1:8" x14ac:dyDescent="0.2">
      <c r="A41" s="6" t="s">
        <v>323</v>
      </c>
      <c r="B41" s="2">
        <v>1</v>
      </c>
      <c r="C41" s="6">
        <v>1</v>
      </c>
      <c r="D41" s="6">
        <v>1</v>
      </c>
      <c r="E41" s="6">
        <v>1</v>
      </c>
      <c r="F41" s="282">
        <v>200000</v>
      </c>
      <c r="G41" s="257">
        <v>200000</v>
      </c>
      <c r="H41" s="257">
        <v>200000</v>
      </c>
    </row>
    <row r="42" spans="1:8" x14ac:dyDescent="0.2">
      <c r="A42" s="6" t="s">
        <v>332</v>
      </c>
      <c r="B42" s="2">
        <f>B41+1</f>
        <v>2</v>
      </c>
      <c r="C42" s="6">
        <v>1</v>
      </c>
      <c r="D42" s="6">
        <v>1</v>
      </c>
      <c r="E42" s="6">
        <v>1</v>
      </c>
      <c r="F42" s="257">
        <v>30000</v>
      </c>
      <c r="G42" s="257">
        <v>30000</v>
      </c>
      <c r="H42" s="257">
        <v>30000</v>
      </c>
    </row>
    <row r="43" spans="1:8" x14ac:dyDescent="0.2">
      <c r="A43" s="6" t="s">
        <v>333</v>
      </c>
      <c r="B43" s="2">
        <f>B42+1</f>
        <v>3</v>
      </c>
      <c r="C43" s="6">
        <v>2</v>
      </c>
      <c r="D43" s="6">
        <v>2</v>
      </c>
      <c r="E43" s="6">
        <v>2</v>
      </c>
      <c r="F43" s="257">
        <v>61000</v>
      </c>
      <c r="G43" s="257">
        <v>61000</v>
      </c>
      <c r="H43" s="257">
        <v>61000</v>
      </c>
    </row>
    <row r="44" spans="1:8" x14ac:dyDescent="0.2">
      <c r="A44" s="90" t="s">
        <v>684</v>
      </c>
      <c r="B44" s="2">
        <v>4</v>
      </c>
      <c r="C44" s="6">
        <v>1</v>
      </c>
      <c r="D44" s="6">
        <v>1</v>
      </c>
      <c r="E44" s="6">
        <v>1</v>
      </c>
      <c r="F44" s="257">
        <v>50000</v>
      </c>
      <c r="G44" s="257">
        <v>50000</v>
      </c>
      <c r="H44" s="257">
        <v>50000</v>
      </c>
    </row>
    <row r="45" spans="1:8" hidden="1" x14ac:dyDescent="0.2">
      <c r="A45" s="90" t="s">
        <v>577</v>
      </c>
      <c r="B45" s="187">
        <v>5</v>
      </c>
      <c r="C45" s="188">
        <v>3</v>
      </c>
      <c r="D45" s="188">
        <v>3</v>
      </c>
      <c r="E45" s="188">
        <v>3</v>
      </c>
      <c r="F45" s="257">
        <v>0</v>
      </c>
      <c r="G45" s="257"/>
      <c r="H45" s="257"/>
    </row>
    <row r="46" spans="1:8" x14ac:dyDescent="0.2">
      <c r="A46" s="90" t="s">
        <v>683</v>
      </c>
      <c r="B46" s="234">
        <v>7</v>
      </c>
      <c r="C46" s="235">
        <v>1</v>
      </c>
      <c r="D46" s="235">
        <v>1</v>
      </c>
      <c r="E46" s="235">
        <v>1</v>
      </c>
      <c r="F46" s="257">
        <v>10000</v>
      </c>
      <c r="G46" s="257">
        <v>10000</v>
      </c>
      <c r="H46" s="257">
        <v>10000</v>
      </c>
    </row>
    <row r="47" spans="1:8" x14ac:dyDescent="0.2">
      <c r="A47" s="6" t="s">
        <v>137</v>
      </c>
      <c r="B47" s="2">
        <v>9000</v>
      </c>
      <c r="C47" s="2" t="s">
        <v>12</v>
      </c>
      <c r="D47" s="2" t="s">
        <v>12</v>
      </c>
      <c r="E47" s="2" t="s">
        <v>12</v>
      </c>
      <c r="F47" s="257">
        <f>SUM(F41:F45)+F46</f>
        <v>351000</v>
      </c>
      <c r="G47" s="257">
        <f>SUM(G41:G45)+G46</f>
        <v>351000</v>
      </c>
      <c r="H47" s="292">
        <f>SUM(H41:H45)+H46</f>
        <v>351000</v>
      </c>
    </row>
    <row r="49" spans="1:8" x14ac:dyDescent="0.2">
      <c r="A49" s="3" t="s">
        <v>442</v>
      </c>
    </row>
    <row r="50" spans="1:8" x14ac:dyDescent="0.2">
      <c r="A50" s="335" t="s">
        <v>219</v>
      </c>
      <c r="B50" s="335" t="s">
        <v>1</v>
      </c>
      <c r="C50" s="335" t="s">
        <v>312</v>
      </c>
      <c r="D50" s="335"/>
      <c r="E50" s="335"/>
      <c r="F50" s="335" t="s">
        <v>313</v>
      </c>
      <c r="G50" s="335"/>
      <c r="H50" s="335"/>
    </row>
    <row r="51" spans="1:8" x14ac:dyDescent="0.2">
      <c r="A51" s="335"/>
      <c r="B51" s="335"/>
      <c r="C51" s="290" t="s">
        <v>582</v>
      </c>
      <c r="D51" s="290" t="s">
        <v>614</v>
      </c>
      <c r="E51" s="290" t="s">
        <v>694</v>
      </c>
      <c r="F51" s="290" t="s">
        <v>582</v>
      </c>
      <c r="G51" s="290" t="s">
        <v>614</v>
      </c>
      <c r="H51" s="290" t="s">
        <v>694</v>
      </c>
    </row>
    <row r="52" spans="1:8" ht="38.25" x14ac:dyDescent="0.2">
      <c r="A52" s="335"/>
      <c r="B52" s="335"/>
      <c r="C52" s="2" t="s">
        <v>79</v>
      </c>
      <c r="D52" s="2" t="s">
        <v>80</v>
      </c>
      <c r="E52" s="2" t="s">
        <v>81</v>
      </c>
      <c r="F52" s="2" t="s">
        <v>79</v>
      </c>
      <c r="G52" s="2" t="s">
        <v>80</v>
      </c>
      <c r="H52" s="2" t="s">
        <v>81</v>
      </c>
    </row>
    <row r="53" spans="1:8" x14ac:dyDescent="0.2">
      <c r="A53" s="2">
        <v>1</v>
      </c>
      <c r="B53" s="2">
        <v>2</v>
      </c>
      <c r="C53" s="2">
        <v>3</v>
      </c>
      <c r="D53" s="2">
        <v>4</v>
      </c>
      <c r="E53" s="2">
        <v>5</v>
      </c>
      <c r="F53" s="2">
        <v>9</v>
      </c>
      <c r="G53" s="2">
        <v>10</v>
      </c>
      <c r="H53" s="2">
        <v>11</v>
      </c>
    </row>
    <row r="54" spans="1:8" x14ac:dyDescent="0.2">
      <c r="A54" s="6" t="s">
        <v>323</v>
      </c>
      <c r="B54" s="2">
        <v>1</v>
      </c>
      <c r="C54" s="6">
        <v>1</v>
      </c>
      <c r="D54" s="6">
        <v>1</v>
      </c>
      <c r="E54" s="6">
        <v>1</v>
      </c>
      <c r="F54" s="247">
        <v>20000</v>
      </c>
      <c r="G54" s="247">
        <v>20000</v>
      </c>
      <c r="H54" s="247">
        <v>20000</v>
      </c>
    </row>
    <row r="55" spans="1:8" x14ac:dyDescent="0.2">
      <c r="A55" s="6" t="s">
        <v>332</v>
      </c>
      <c r="B55" s="65">
        <v>2</v>
      </c>
      <c r="C55" s="6">
        <v>1</v>
      </c>
      <c r="D55" s="6">
        <v>1</v>
      </c>
      <c r="E55" s="6">
        <v>1</v>
      </c>
      <c r="F55" s="247">
        <v>8000</v>
      </c>
      <c r="G55" s="247">
        <v>8000</v>
      </c>
      <c r="H55" s="247">
        <v>8000</v>
      </c>
    </row>
    <row r="56" spans="1:8" hidden="1" x14ac:dyDescent="0.2">
      <c r="A56" s="6" t="s">
        <v>333</v>
      </c>
      <c r="B56" s="2">
        <f>B55+1</f>
        <v>3</v>
      </c>
      <c r="C56" s="6">
        <v>1</v>
      </c>
      <c r="D56" s="6"/>
      <c r="E56" s="6"/>
      <c r="F56" s="247"/>
      <c r="G56" s="247"/>
      <c r="H56" s="247"/>
    </row>
    <row r="57" spans="1:8" hidden="1" x14ac:dyDescent="0.2">
      <c r="A57" s="6" t="s">
        <v>339</v>
      </c>
      <c r="B57" s="2">
        <f>B56+1</f>
        <v>4</v>
      </c>
      <c r="C57" s="6">
        <v>1</v>
      </c>
      <c r="D57" s="6"/>
      <c r="E57" s="6"/>
      <c r="F57" s="247"/>
      <c r="G57" s="247"/>
      <c r="H57" s="247"/>
    </row>
    <row r="58" spans="1:8" x14ac:dyDescent="0.2">
      <c r="A58" s="90" t="s">
        <v>333</v>
      </c>
      <c r="B58" s="187">
        <v>3</v>
      </c>
      <c r="C58" s="188">
        <v>1</v>
      </c>
      <c r="D58" s="188">
        <v>1</v>
      </c>
      <c r="E58" s="188">
        <v>1</v>
      </c>
      <c r="F58" s="247">
        <v>50000</v>
      </c>
      <c r="G58" s="247">
        <v>50000</v>
      </c>
      <c r="H58" s="247">
        <v>50000</v>
      </c>
    </row>
    <row r="59" spans="1:8" x14ac:dyDescent="0.2">
      <c r="A59" s="6" t="s">
        <v>137</v>
      </c>
      <c r="B59" s="2">
        <v>9000</v>
      </c>
      <c r="C59" s="2" t="s">
        <v>12</v>
      </c>
      <c r="D59" s="2" t="s">
        <v>12</v>
      </c>
      <c r="E59" s="2" t="s">
        <v>12</v>
      </c>
      <c r="F59" s="5">
        <f>SUM(F54:F58)</f>
        <v>78000</v>
      </c>
      <c r="G59" s="200">
        <f t="shared" ref="G59:H59" si="1">SUM(G54:G58)</f>
        <v>78000</v>
      </c>
      <c r="H59" s="200">
        <f t="shared" si="1"/>
        <v>78000</v>
      </c>
    </row>
    <row r="60" spans="1:8" x14ac:dyDescent="0.2">
      <c r="A60" s="53"/>
      <c r="B60" s="49"/>
      <c r="C60" s="49"/>
      <c r="D60" s="49"/>
      <c r="E60" s="49"/>
      <c r="F60" s="54"/>
      <c r="G60" s="54"/>
      <c r="H60" s="54"/>
    </row>
    <row r="61" spans="1:8" x14ac:dyDescent="0.2">
      <c r="A61" s="3" t="s">
        <v>345</v>
      </c>
    </row>
    <row r="62" spans="1:8" x14ac:dyDescent="0.2">
      <c r="A62" s="335" t="s">
        <v>219</v>
      </c>
      <c r="B62" s="335" t="s">
        <v>1</v>
      </c>
      <c r="C62" s="335" t="s">
        <v>312</v>
      </c>
      <c r="D62" s="335"/>
      <c r="E62" s="335"/>
      <c r="F62" s="335" t="s">
        <v>313</v>
      </c>
      <c r="G62" s="335"/>
      <c r="H62" s="335"/>
    </row>
    <row r="63" spans="1:8" x14ac:dyDescent="0.2">
      <c r="A63" s="335"/>
      <c r="B63" s="335"/>
      <c r="C63" s="290" t="s">
        <v>582</v>
      </c>
      <c r="D63" s="290" t="s">
        <v>614</v>
      </c>
      <c r="E63" s="290" t="s">
        <v>694</v>
      </c>
      <c r="F63" s="290" t="s">
        <v>582</v>
      </c>
      <c r="G63" s="290" t="s">
        <v>614</v>
      </c>
      <c r="H63" s="290" t="s">
        <v>694</v>
      </c>
    </row>
    <row r="64" spans="1:8" ht="38.25" x14ac:dyDescent="0.2">
      <c r="A64" s="335"/>
      <c r="B64" s="335"/>
      <c r="C64" s="194" t="s">
        <v>79</v>
      </c>
      <c r="D64" s="194" t="s">
        <v>80</v>
      </c>
      <c r="E64" s="194" t="s">
        <v>81</v>
      </c>
      <c r="F64" s="194" t="s">
        <v>79</v>
      </c>
      <c r="G64" s="194" t="s">
        <v>80</v>
      </c>
      <c r="H64" s="194" t="s">
        <v>81</v>
      </c>
    </row>
    <row r="65" spans="1:8" x14ac:dyDescent="0.2">
      <c r="A65" s="335">
        <v>1</v>
      </c>
      <c r="B65" s="335">
        <v>2</v>
      </c>
      <c r="C65" s="194">
        <v>3</v>
      </c>
      <c r="D65" s="194">
        <v>4</v>
      </c>
      <c r="E65" s="194">
        <v>5</v>
      </c>
      <c r="F65" s="194">
        <v>9</v>
      </c>
      <c r="G65" s="194">
        <v>10</v>
      </c>
      <c r="H65" s="194">
        <v>11</v>
      </c>
    </row>
    <row r="66" spans="1:8" hidden="1" x14ac:dyDescent="0.2">
      <c r="A66" s="335"/>
      <c r="B66" s="335"/>
      <c r="C66" s="2" t="s">
        <v>363</v>
      </c>
      <c r="D66" s="2" t="s">
        <v>364</v>
      </c>
      <c r="E66" s="2" t="s">
        <v>365</v>
      </c>
      <c r="F66" s="2" t="s">
        <v>363</v>
      </c>
      <c r="G66" s="2" t="s">
        <v>364</v>
      </c>
      <c r="H66" s="2" t="s">
        <v>365</v>
      </c>
    </row>
    <row r="67" spans="1:8" ht="38.25" hidden="1" x14ac:dyDescent="0.2">
      <c r="A67" s="335"/>
      <c r="B67" s="335"/>
      <c r="C67" s="2" t="s">
        <v>79</v>
      </c>
      <c r="D67" s="2" t="s">
        <v>80</v>
      </c>
      <c r="E67" s="2" t="s">
        <v>81</v>
      </c>
      <c r="F67" s="2" t="s">
        <v>79</v>
      </c>
      <c r="G67" s="2" t="s">
        <v>80</v>
      </c>
      <c r="H67" s="2" t="s">
        <v>81</v>
      </c>
    </row>
    <row r="68" spans="1:8" hidden="1" x14ac:dyDescent="0.2">
      <c r="A68" s="2">
        <v>1</v>
      </c>
      <c r="B68" s="2">
        <v>2</v>
      </c>
      <c r="C68" s="2">
        <v>3</v>
      </c>
      <c r="D68" s="2">
        <v>4</v>
      </c>
      <c r="E68" s="2">
        <v>5</v>
      </c>
      <c r="F68" s="2">
        <v>9</v>
      </c>
      <c r="G68" s="2">
        <v>10</v>
      </c>
      <c r="H68" s="2">
        <v>11</v>
      </c>
    </row>
    <row r="69" spans="1:8" hidden="1" x14ac:dyDescent="0.2">
      <c r="A69" s="6" t="s">
        <v>323</v>
      </c>
      <c r="B69" s="2">
        <v>1</v>
      </c>
      <c r="C69" s="6">
        <v>1</v>
      </c>
      <c r="D69" s="6"/>
      <c r="E69" s="6"/>
      <c r="F69" s="5"/>
      <c r="G69" s="5"/>
      <c r="H69" s="5"/>
    </row>
    <row r="70" spans="1:8" hidden="1" x14ac:dyDescent="0.2">
      <c r="A70" s="6" t="s">
        <v>332</v>
      </c>
      <c r="B70" s="2">
        <f>B69+1</f>
        <v>2</v>
      </c>
      <c r="C70" s="6">
        <v>1</v>
      </c>
      <c r="D70" s="6"/>
      <c r="E70" s="6"/>
      <c r="F70" s="5"/>
      <c r="G70" s="5"/>
      <c r="H70" s="5"/>
    </row>
    <row r="71" spans="1:8" hidden="1" x14ac:dyDescent="0.2">
      <c r="A71" s="6" t="s">
        <v>137</v>
      </c>
      <c r="B71" s="2">
        <v>9000</v>
      </c>
      <c r="C71" s="2" t="s">
        <v>12</v>
      </c>
      <c r="D71" s="2" t="s">
        <v>12</v>
      </c>
      <c r="E71" s="2" t="s">
        <v>12</v>
      </c>
      <c r="F71" s="5">
        <f>SUM(F69:F70)</f>
        <v>0</v>
      </c>
      <c r="G71" s="5">
        <f>SUM(G69:G70)</f>
        <v>0</v>
      </c>
      <c r="H71" s="5">
        <f>SUM(H69:H70)</f>
        <v>0</v>
      </c>
    </row>
    <row r="72" spans="1:8" hidden="1" x14ac:dyDescent="0.2"/>
    <row r="73" spans="1:8" hidden="1" x14ac:dyDescent="0.2">
      <c r="A73" s="3" t="s">
        <v>341</v>
      </c>
    </row>
    <row r="74" spans="1:8" hidden="1" x14ac:dyDescent="0.2">
      <c r="A74" s="335" t="s">
        <v>219</v>
      </c>
      <c r="B74" s="335" t="s">
        <v>1</v>
      </c>
      <c r="C74" s="335" t="s">
        <v>312</v>
      </c>
      <c r="D74" s="335"/>
      <c r="E74" s="335"/>
      <c r="F74" s="335" t="s">
        <v>313</v>
      </c>
      <c r="G74" s="335"/>
      <c r="H74" s="335"/>
    </row>
    <row r="75" spans="1:8" hidden="1" x14ac:dyDescent="0.2">
      <c r="A75" s="335"/>
      <c r="B75" s="335"/>
      <c r="C75" s="2" t="s">
        <v>363</v>
      </c>
      <c r="D75" s="2" t="s">
        <v>364</v>
      </c>
      <c r="E75" s="2" t="s">
        <v>365</v>
      </c>
      <c r="F75" s="2" t="s">
        <v>363</v>
      </c>
      <c r="G75" s="2" t="s">
        <v>364</v>
      </c>
      <c r="H75" s="2" t="s">
        <v>365</v>
      </c>
    </row>
    <row r="76" spans="1:8" ht="38.25" hidden="1" x14ac:dyDescent="0.2">
      <c r="A76" s="335"/>
      <c r="B76" s="335"/>
      <c r="C76" s="2" t="s">
        <v>79</v>
      </c>
      <c r="D76" s="2" t="s">
        <v>80</v>
      </c>
      <c r="E76" s="2" t="s">
        <v>81</v>
      </c>
      <c r="F76" s="2" t="s">
        <v>79</v>
      </c>
      <c r="G76" s="2" t="s">
        <v>80</v>
      </c>
      <c r="H76" s="2" t="s">
        <v>81</v>
      </c>
    </row>
    <row r="77" spans="1:8" hidden="1" x14ac:dyDescent="0.2">
      <c r="A77" s="2">
        <v>1</v>
      </c>
      <c r="B77" s="2">
        <v>2</v>
      </c>
      <c r="C77" s="2">
        <v>3</v>
      </c>
      <c r="D77" s="2">
        <v>4</v>
      </c>
      <c r="E77" s="2">
        <v>5</v>
      </c>
      <c r="F77" s="2">
        <v>9</v>
      </c>
      <c r="G77" s="2">
        <v>10</v>
      </c>
      <c r="H77" s="2">
        <v>11</v>
      </c>
    </row>
    <row r="78" spans="1:8" hidden="1" x14ac:dyDescent="0.2">
      <c r="A78" s="6" t="s">
        <v>323</v>
      </c>
      <c r="B78" s="2">
        <v>1</v>
      </c>
      <c r="C78" s="6">
        <v>1</v>
      </c>
      <c r="D78" s="6"/>
      <c r="E78" s="6"/>
      <c r="F78" s="5"/>
      <c r="G78" s="5"/>
      <c r="H78" s="5"/>
    </row>
    <row r="79" spans="1:8" hidden="1" x14ac:dyDescent="0.2">
      <c r="A79" s="6" t="s">
        <v>332</v>
      </c>
      <c r="B79" s="2">
        <f>B78+1</f>
        <v>2</v>
      </c>
      <c r="C79" s="6">
        <v>1</v>
      </c>
      <c r="D79" s="6"/>
      <c r="E79" s="6"/>
      <c r="F79" s="5"/>
      <c r="G79" s="5"/>
      <c r="H79" s="5"/>
    </row>
    <row r="80" spans="1:8" hidden="1" x14ac:dyDescent="0.2">
      <c r="A80" s="6" t="s">
        <v>137</v>
      </c>
      <c r="B80" s="2">
        <v>9000</v>
      </c>
      <c r="C80" s="2" t="s">
        <v>12</v>
      </c>
      <c r="D80" s="2" t="s">
        <v>12</v>
      </c>
      <c r="E80" s="2" t="s">
        <v>12</v>
      </c>
      <c r="F80" s="5">
        <f>SUM(F78:F79)</f>
        <v>0</v>
      </c>
      <c r="G80" s="5">
        <f>SUM(G78:G79)</f>
        <v>0</v>
      </c>
      <c r="H80" s="5">
        <f>SUM(H78:H79)</f>
        <v>0</v>
      </c>
    </row>
    <row r="81" spans="1:8" x14ac:dyDescent="0.2">
      <c r="A81" s="202" t="s">
        <v>367</v>
      </c>
      <c r="B81" s="194">
        <v>1</v>
      </c>
      <c r="C81" s="194">
        <v>2</v>
      </c>
      <c r="D81" s="194">
        <v>0</v>
      </c>
      <c r="E81" s="194">
        <v>0</v>
      </c>
      <c r="F81" s="196">
        <v>135000</v>
      </c>
      <c r="G81" s="196">
        <v>0</v>
      </c>
      <c r="H81" s="196">
        <v>0</v>
      </c>
    </row>
    <row r="82" spans="1:8" ht="38.25" hidden="1" x14ac:dyDescent="0.2">
      <c r="A82" s="202" t="s">
        <v>610</v>
      </c>
      <c r="B82" s="245">
        <v>2</v>
      </c>
      <c r="C82" s="245">
        <v>2</v>
      </c>
      <c r="D82" s="245">
        <v>0</v>
      </c>
      <c r="E82" s="245">
        <v>0</v>
      </c>
      <c r="F82" s="249"/>
      <c r="G82" s="249">
        <v>0</v>
      </c>
      <c r="H82" s="249">
        <v>0</v>
      </c>
    </row>
    <row r="83" spans="1:8" x14ac:dyDescent="0.2">
      <c r="A83" s="90" t="s">
        <v>137</v>
      </c>
      <c r="B83" s="194">
        <v>9000</v>
      </c>
      <c r="C83" s="194" t="s">
        <v>12</v>
      </c>
      <c r="D83" s="194" t="s">
        <v>12</v>
      </c>
      <c r="E83" s="194" t="s">
        <v>12</v>
      </c>
      <c r="F83" s="196">
        <f>SUM(F81:F82)</f>
        <v>135000</v>
      </c>
      <c r="G83" s="196">
        <f>G81</f>
        <v>0</v>
      </c>
      <c r="H83" s="196">
        <f>H81</f>
        <v>0</v>
      </c>
    </row>
    <row r="85" spans="1:8" x14ac:dyDescent="0.2">
      <c r="A85" s="73" t="s">
        <v>714</v>
      </c>
    </row>
    <row r="86" spans="1:8" x14ac:dyDescent="0.2">
      <c r="A86" s="335" t="s">
        <v>219</v>
      </c>
      <c r="B86" s="335" t="s">
        <v>1</v>
      </c>
      <c r="C86" s="335" t="s">
        <v>312</v>
      </c>
      <c r="D86" s="335"/>
      <c r="E86" s="335"/>
      <c r="F86" s="335" t="s">
        <v>313</v>
      </c>
      <c r="G86" s="335"/>
      <c r="H86" s="335"/>
    </row>
    <row r="87" spans="1:8" x14ac:dyDescent="0.2">
      <c r="A87" s="335"/>
      <c r="B87" s="335"/>
      <c r="C87" s="290" t="s">
        <v>582</v>
      </c>
      <c r="D87" s="290" t="s">
        <v>614</v>
      </c>
      <c r="E87" s="290" t="s">
        <v>694</v>
      </c>
      <c r="F87" s="290" t="s">
        <v>582</v>
      </c>
      <c r="G87" s="290" t="s">
        <v>614</v>
      </c>
      <c r="H87" s="290" t="s">
        <v>694</v>
      </c>
    </row>
    <row r="88" spans="1:8" ht="38.25" x14ac:dyDescent="0.2">
      <c r="A88" s="335"/>
      <c r="B88" s="335"/>
      <c r="C88" s="2" t="s">
        <v>79</v>
      </c>
      <c r="D88" s="2" t="s">
        <v>80</v>
      </c>
      <c r="E88" s="2" t="s">
        <v>81</v>
      </c>
      <c r="F88" s="2" t="s">
        <v>79</v>
      </c>
      <c r="G88" s="2" t="s">
        <v>80</v>
      </c>
      <c r="H88" s="2" t="s">
        <v>81</v>
      </c>
    </row>
    <row r="89" spans="1:8" x14ac:dyDescent="0.2">
      <c r="A89" s="2">
        <v>1</v>
      </c>
      <c r="B89" s="2">
        <v>2</v>
      </c>
      <c r="C89" s="2">
        <v>3</v>
      </c>
      <c r="D89" s="2">
        <v>4</v>
      </c>
      <c r="E89" s="2">
        <v>5</v>
      </c>
      <c r="F89" s="2">
        <v>9</v>
      </c>
      <c r="G89" s="2">
        <v>10</v>
      </c>
      <c r="H89" s="2">
        <v>11</v>
      </c>
    </row>
    <row r="90" spans="1:8" x14ac:dyDescent="0.2">
      <c r="A90" s="6" t="s">
        <v>443</v>
      </c>
      <c r="B90" s="2">
        <v>1</v>
      </c>
      <c r="C90" s="6">
        <v>1</v>
      </c>
      <c r="D90" s="6">
        <v>1</v>
      </c>
      <c r="E90" s="6">
        <v>1</v>
      </c>
      <c r="F90" s="70">
        <v>638341.19999999995</v>
      </c>
      <c r="G90" s="70">
        <v>638341.19999999995</v>
      </c>
      <c r="H90" s="70">
        <v>638341.19999999995</v>
      </c>
    </row>
    <row r="91" spans="1:8" ht="25.5" x14ac:dyDescent="0.2">
      <c r="A91" s="90" t="s">
        <v>525</v>
      </c>
      <c r="B91" s="2">
        <f>B90+1</f>
        <v>2</v>
      </c>
      <c r="C91" s="6">
        <v>2</v>
      </c>
      <c r="D91" s="6">
        <v>2</v>
      </c>
      <c r="E91" s="6">
        <v>2</v>
      </c>
      <c r="F91" s="70">
        <v>5734610</v>
      </c>
      <c r="G91" s="70">
        <v>5734610</v>
      </c>
      <c r="H91" s="70">
        <v>5734610</v>
      </c>
    </row>
    <row r="92" spans="1:8" ht="38.25" x14ac:dyDescent="0.2">
      <c r="A92" s="90" t="s">
        <v>552</v>
      </c>
      <c r="B92" s="2">
        <v>3</v>
      </c>
      <c r="C92" s="6">
        <v>2</v>
      </c>
      <c r="D92" s="6">
        <v>2</v>
      </c>
      <c r="E92" s="6">
        <v>2</v>
      </c>
      <c r="F92" s="70">
        <v>1983384</v>
      </c>
      <c r="G92" s="70">
        <v>1996433.27</v>
      </c>
      <c r="H92" s="70">
        <v>613284.17000000004</v>
      </c>
    </row>
    <row r="93" spans="1:8" ht="25.5" x14ac:dyDescent="0.2">
      <c r="A93" s="90" t="s">
        <v>484</v>
      </c>
      <c r="B93" s="95">
        <v>4</v>
      </c>
      <c r="C93" s="96">
        <v>2</v>
      </c>
      <c r="D93" s="96">
        <v>2</v>
      </c>
      <c r="E93" s="96">
        <v>2</v>
      </c>
      <c r="F93" s="97">
        <v>4855870</v>
      </c>
      <c r="G93" s="97">
        <v>4887818.2</v>
      </c>
      <c r="H93" s="97">
        <v>1501488.48</v>
      </c>
    </row>
    <row r="94" spans="1:8" ht="38.25" x14ac:dyDescent="0.2">
      <c r="A94" s="90" t="s">
        <v>526</v>
      </c>
      <c r="B94" s="95">
        <v>5</v>
      </c>
      <c r="C94" s="96">
        <v>1</v>
      </c>
      <c r="D94" s="96">
        <v>1</v>
      </c>
      <c r="E94" s="96">
        <v>1</v>
      </c>
      <c r="F94" s="97">
        <v>6846</v>
      </c>
      <c r="G94" s="97">
        <v>6891</v>
      </c>
      <c r="H94" s="97">
        <v>2117</v>
      </c>
    </row>
    <row r="95" spans="1:8" ht="25.5" hidden="1" x14ac:dyDescent="0.2">
      <c r="A95" s="90" t="s">
        <v>679</v>
      </c>
      <c r="B95" s="261">
        <v>6</v>
      </c>
      <c r="C95" s="262">
        <v>1</v>
      </c>
      <c r="D95" s="262">
        <v>0</v>
      </c>
      <c r="E95" s="262">
        <v>0</v>
      </c>
      <c r="F95" s="263">
        <f>3960000-3960000</f>
        <v>0</v>
      </c>
      <c r="G95" s="263">
        <v>0</v>
      </c>
      <c r="H95" s="263">
        <v>0</v>
      </c>
    </row>
    <row r="96" spans="1:8" hidden="1" x14ac:dyDescent="0.2">
      <c r="A96" s="90" t="s">
        <v>611</v>
      </c>
      <c r="B96" s="274">
        <v>6</v>
      </c>
      <c r="C96" s="275">
        <v>1</v>
      </c>
      <c r="D96" s="275">
        <v>0</v>
      </c>
      <c r="E96" s="275">
        <v>0</v>
      </c>
      <c r="F96" s="276"/>
      <c r="G96" s="276">
        <v>0</v>
      </c>
      <c r="H96" s="276">
        <v>0</v>
      </c>
    </row>
    <row r="97" spans="1:9" x14ac:dyDescent="0.2">
      <c r="A97" s="6" t="s">
        <v>137</v>
      </c>
      <c r="B97" s="2">
        <v>9000</v>
      </c>
      <c r="C97" s="2" t="s">
        <v>12</v>
      </c>
      <c r="D97" s="2" t="s">
        <v>12</v>
      </c>
      <c r="E97" s="2" t="s">
        <v>12</v>
      </c>
      <c r="F97" s="70">
        <f>SUM(F90:F91)+F92+F93+F94+F95+F96</f>
        <v>13219051.199999999</v>
      </c>
      <c r="G97" s="70">
        <f>SUM(G90:G91)+G92+G93+G94</f>
        <v>13264093.670000002</v>
      </c>
      <c r="H97" s="70">
        <f>SUM(H90:H91)+H92+H93+H94</f>
        <v>8489840.8499999996</v>
      </c>
    </row>
    <row r="98" spans="1:9" x14ac:dyDescent="0.2">
      <c r="F98" s="47"/>
      <c r="G98" s="47"/>
      <c r="H98" s="47"/>
      <c r="I98" s="124" t="s">
        <v>719</v>
      </c>
    </row>
    <row r="99" spans="1:9" hidden="1" x14ac:dyDescent="0.2">
      <c r="A99" s="3" t="s">
        <v>309</v>
      </c>
      <c r="F99" s="47"/>
      <c r="G99" s="47"/>
      <c r="H99" s="47"/>
    </row>
    <row r="100" spans="1:9" hidden="1" x14ac:dyDescent="0.2">
      <c r="A100" s="335" t="s">
        <v>219</v>
      </c>
      <c r="B100" s="335" t="s">
        <v>1</v>
      </c>
      <c r="C100" s="335" t="s">
        <v>312</v>
      </c>
      <c r="D100" s="335"/>
      <c r="E100" s="335"/>
      <c r="F100" s="345" t="s">
        <v>313</v>
      </c>
      <c r="G100" s="345"/>
      <c r="H100" s="345"/>
    </row>
    <row r="101" spans="1:9" hidden="1" x14ac:dyDescent="0.2">
      <c r="A101" s="335"/>
      <c r="B101" s="335"/>
      <c r="C101" s="2" t="s">
        <v>363</v>
      </c>
      <c r="D101" s="2" t="s">
        <v>364</v>
      </c>
      <c r="E101" s="2" t="s">
        <v>365</v>
      </c>
      <c r="F101" s="71" t="s">
        <v>363</v>
      </c>
      <c r="G101" s="71" t="s">
        <v>364</v>
      </c>
      <c r="H101" s="71" t="s">
        <v>365</v>
      </c>
    </row>
    <row r="102" spans="1:9" ht="38.25" hidden="1" x14ac:dyDescent="0.2">
      <c r="A102" s="335"/>
      <c r="B102" s="335"/>
      <c r="C102" s="2" t="s">
        <v>79</v>
      </c>
      <c r="D102" s="2" t="s">
        <v>80</v>
      </c>
      <c r="E102" s="2" t="s">
        <v>81</v>
      </c>
      <c r="F102" s="71" t="s">
        <v>79</v>
      </c>
      <c r="G102" s="71" t="s">
        <v>80</v>
      </c>
      <c r="H102" s="71" t="s">
        <v>81</v>
      </c>
    </row>
    <row r="103" spans="1:9" hidden="1" x14ac:dyDescent="0.2">
      <c r="A103" s="2">
        <v>1</v>
      </c>
      <c r="B103" s="2">
        <v>2</v>
      </c>
      <c r="C103" s="2">
        <v>3</v>
      </c>
      <c r="D103" s="2">
        <v>4</v>
      </c>
      <c r="E103" s="2">
        <v>5</v>
      </c>
      <c r="F103" s="71">
        <v>9</v>
      </c>
      <c r="G103" s="71">
        <v>10</v>
      </c>
      <c r="H103" s="71">
        <v>11</v>
      </c>
    </row>
    <row r="104" spans="1:9" ht="25.5" hidden="1" x14ac:dyDescent="0.2">
      <c r="A104" s="6" t="s">
        <v>352</v>
      </c>
      <c r="B104" s="2">
        <v>1</v>
      </c>
      <c r="C104" s="6">
        <v>1</v>
      </c>
      <c r="D104" s="6"/>
      <c r="E104" s="6"/>
      <c r="F104" s="70"/>
      <c r="G104" s="70"/>
      <c r="H104" s="70"/>
    </row>
    <row r="105" spans="1:9" ht="25.5" hidden="1" x14ac:dyDescent="0.2">
      <c r="A105" s="6" t="s">
        <v>353</v>
      </c>
      <c r="B105" s="2">
        <f>B104+1</f>
        <v>2</v>
      </c>
      <c r="C105" s="6">
        <v>4</v>
      </c>
      <c r="D105" s="6"/>
      <c r="E105" s="6"/>
      <c r="F105" s="70"/>
      <c r="G105" s="70"/>
      <c r="H105" s="70"/>
    </row>
    <row r="106" spans="1:9" hidden="1" x14ac:dyDescent="0.2">
      <c r="A106" s="6" t="s">
        <v>137</v>
      </c>
      <c r="B106" s="2">
        <v>9000</v>
      </c>
      <c r="C106" s="2" t="s">
        <v>12</v>
      </c>
      <c r="D106" s="2" t="s">
        <v>12</v>
      </c>
      <c r="E106" s="2" t="s">
        <v>12</v>
      </c>
      <c r="F106" s="70">
        <f>SUM(F104:F105)</f>
        <v>0</v>
      </c>
      <c r="G106" s="70">
        <f>SUM(G104:G105)</f>
        <v>0</v>
      </c>
      <c r="H106" s="70">
        <f>SUM(H104:H105)</f>
        <v>0</v>
      </c>
    </row>
    <row r="107" spans="1:9" hidden="1" x14ac:dyDescent="0.2">
      <c r="F107" s="47"/>
      <c r="G107" s="47"/>
      <c r="H107" s="47"/>
    </row>
    <row r="108" spans="1:9" hidden="1" x14ac:dyDescent="0.2">
      <c r="A108" s="3" t="s">
        <v>345</v>
      </c>
      <c r="F108" s="47"/>
      <c r="G108" s="47"/>
      <c r="H108" s="47"/>
    </row>
    <row r="109" spans="1:9" hidden="1" x14ac:dyDescent="0.2">
      <c r="A109" s="335" t="s">
        <v>219</v>
      </c>
      <c r="B109" s="335" t="s">
        <v>1</v>
      </c>
      <c r="C109" s="335" t="s">
        <v>312</v>
      </c>
      <c r="D109" s="335"/>
      <c r="E109" s="335"/>
      <c r="F109" s="345" t="s">
        <v>313</v>
      </c>
      <c r="G109" s="345"/>
      <c r="H109" s="345"/>
    </row>
    <row r="110" spans="1:9" hidden="1" x14ac:dyDescent="0.2">
      <c r="A110" s="335"/>
      <c r="B110" s="335"/>
      <c r="C110" s="2" t="s">
        <v>363</v>
      </c>
      <c r="D110" s="2" t="s">
        <v>364</v>
      </c>
      <c r="E110" s="2" t="s">
        <v>365</v>
      </c>
      <c r="F110" s="71" t="s">
        <v>363</v>
      </c>
      <c r="G110" s="71" t="s">
        <v>364</v>
      </c>
      <c r="H110" s="71" t="s">
        <v>365</v>
      </c>
    </row>
    <row r="111" spans="1:9" ht="38.25" hidden="1" x14ac:dyDescent="0.2">
      <c r="A111" s="335"/>
      <c r="B111" s="335"/>
      <c r="C111" s="2" t="s">
        <v>79</v>
      </c>
      <c r="D111" s="2" t="s">
        <v>80</v>
      </c>
      <c r="E111" s="2" t="s">
        <v>81</v>
      </c>
      <c r="F111" s="71" t="s">
        <v>79</v>
      </c>
      <c r="G111" s="71" t="s">
        <v>80</v>
      </c>
      <c r="H111" s="71" t="s">
        <v>81</v>
      </c>
    </row>
    <row r="112" spans="1:9" hidden="1" x14ac:dyDescent="0.2">
      <c r="A112" s="2">
        <v>1</v>
      </c>
      <c r="B112" s="2">
        <v>2</v>
      </c>
      <c r="C112" s="2">
        <v>3</v>
      </c>
      <c r="D112" s="2">
        <v>4</v>
      </c>
      <c r="E112" s="2">
        <v>5</v>
      </c>
      <c r="F112" s="71">
        <v>9</v>
      </c>
      <c r="G112" s="71">
        <v>10</v>
      </c>
      <c r="H112" s="71">
        <v>11</v>
      </c>
    </row>
    <row r="113" spans="1:8" ht="25.5" hidden="1" x14ac:dyDescent="0.2">
      <c r="A113" s="6" t="s">
        <v>343</v>
      </c>
      <c r="B113" s="2">
        <v>1</v>
      </c>
      <c r="C113" s="6">
        <v>1</v>
      </c>
      <c r="D113" s="6"/>
      <c r="E113" s="6"/>
      <c r="F113" s="70"/>
      <c r="G113" s="70"/>
      <c r="H113" s="70"/>
    </row>
    <row r="114" spans="1:8" hidden="1" x14ac:dyDescent="0.2">
      <c r="A114" s="6" t="s">
        <v>344</v>
      </c>
      <c r="B114" s="2">
        <f>B113+1</f>
        <v>2</v>
      </c>
      <c r="C114" s="6">
        <v>1</v>
      </c>
      <c r="D114" s="6"/>
      <c r="E114" s="6"/>
      <c r="F114" s="70"/>
      <c r="G114" s="70"/>
      <c r="H114" s="70"/>
    </row>
    <row r="115" spans="1:8" hidden="1" x14ac:dyDescent="0.2">
      <c r="A115" s="6" t="s">
        <v>137</v>
      </c>
      <c r="B115" s="2">
        <v>9000</v>
      </c>
      <c r="C115" s="2" t="s">
        <v>12</v>
      </c>
      <c r="D115" s="2" t="s">
        <v>12</v>
      </c>
      <c r="E115" s="2" t="s">
        <v>12</v>
      </c>
      <c r="F115" s="70">
        <f>SUM(F113:F114)</f>
        <v>0</v>
      </c>
      <c r="G115" s="70">
        <f>SUM(G113:G114)</f>
        <v>0</v>
      </c>
      <c r="H115" s="70">
        <f>SUM(H113:H114)</f>
        <v>0</v>
      </c>
    </row>
    <row r="116" spans="1:8" hidden="1" x14ac:dyDescent="0.2">
      <c r="F116" s="47"/>
      <c r="G116" s="47"/>
      <c r="H116" s="47"/>
    </row>
    <row r="117" spans="1:8" hidden="1" x14ac:dyDescent="0.2">
      <c r="A117" s="3" t="s">
        <v>598</v>
      </c>
      <c r="F117" s="47"/>
      <c r="G117" s="47"/>
      <c r="H117" s="47"/>
    </row>
    <row r="118" spans="1:8" hidden="1" x14ac:dyDescent="0.2">
      <c r="A118" s="335" t="s">
        <v>219</v>
      </c>
      <c r="B118" s="335" t="s">
        <v>1</v>
      </c>
      <c r="C118" s="335" t="s">
        <v>312</v>
      </c>
      <c r="D118" s="335"/>
      <c r="E118" s="335"/>
      <c r="F118" s="345" t="s">
        <v>313</v>
      </c>
      <c r="G118" s="345"/>
      <c r="H118" s="345"/>
    </row>
    <row r="119" spans="1:8" hidden="1" x14ac:dyDescent="0.2">
      <c r="A119" s="335"/>
      <c r="B119" s="335"/>
      <c r="C119" s="290" t="s">
        <v>582</v>
      </c>
      <c r="D119" s="290" t="s">
        <v>614</v>
      </c>
      <c r="E119" s="290" t="s">
        <v>694</v>
      </c>
      <c r="F119" s="290" t="s">
        <v>582</v>
      </c>
      <c r="G119" s="290" t="s">
        <v>614</v>
      </c>
      <c r="H119" s="290" t="s">
        <v>694</v>
      </c>
    </row>
    <row r="120" spans="1:8" ht="38.25" hidden="1" x14ac:dyDescent="0.2">
      <c r="A120" s="335"/>
      <c r="B120" s="335"/>
      <c r="C120" s="2" t="s">
        <v>79</v>
      </c>
      <c r="D120" s="2" t="s">
        <v>80</v>
      </c>
      <c r="E120" s="2" t="s">
        <v>81</v>
      </c>
      <c r="F120" s="71" t="s">
        <v>79</v>
      </c>
      <c r="G120" s="71" t="s">
        <v>80</v>
      </c>
      <c r="H120" s="71" t="s">
        <v>81</v>
      </c>
    </row>
    <row r="121" spans="1:8" hidden="1" x14ac:dyDescent="0.2">
      <c r="A121" s="2">
        <v>1</v>
      </c>
      <c r="B121" s="2">
        <v>2</v>
      </c>
      <c r="C121" s="2">
        <v>3</v>
      </c>
      <c r="D121" s="2">
        <v>4</v>
      </c>
      <c r="E121" s="2">
        <v>5</v>
      </c>
      <c r="F121" s="71">
        <v>9</v>
      </c>
      <c r="G121" s="71">
        <v>10</v>
      </c>
      <c r="H121" s="71">
        <v>11</v>
      </c>
    </row>
    <row r="122" spans="1:8" hidden="1" x14ac:dyDescent="0.2">
      <c r="A122" s="6" t="s">
        <v>460</v>
      </c>
      <c r="B122" s="2">
        <v>1</v>
      </c>
      <c r="C122" s="6">
        <v>1</v>
      </c>
      <c r="D122" s="6">
        <v>1</v>
      </c>
      <c r="E122" s="6">
        <v>1</v>
      </c>
      <c r="F122" s="70"/>
      <c r="G122" s="70"/>
      <c r="H122" s="70"/>
    </row>
    <row r="123" spans="1:8" hidden="1" x14ac:dyDescent="0.2">
      <c r="A123" s="90" t="s">
        <v>611</v>
      </c>
      <c r="B123" s="234">
        <v>2</v>
      </c>
      <c r="C123" s="235">
        <v>1</v>
      </c>
      <c r="D123" s="235">
        <v>0</v>
      </c>
      <c r="E123" s="235">
        <v>0</v>
      </c>
      <c r="F123" s="236"/>
      <c r="G123" s="236">
        <v>0</v>
      </c>
      <c r="H123" s="236">
        <v>0</v>
      </c>
    </row>
    <row r="124" spans="1:8" ht="25.5" hidden="1" x14ac:dyDescent="0.2">
      <c r="A124" s="90" t="s">
        <v>681</v>
      </c>
      <c r="B124" s="204">
        <v>2</v>
      </c>
      <c r="C124" s="205">
        <v>2</v>
      </c>
      <c r="D124" s="205">
        <v>1</v>
      </c>
      <c r="E124" s="205">
        <v>0</v>
      </c>
      <c r="F124" s="206">
        <v>0</v>
      </c>
      <c r="G124" s="206">
        <v>0</v>
      </c>
      <c r="H124" s="206">
        <v>0</v>
      </c>
    </row>
    <row r="125" spans="1:8" hidden="1" x14ac:dyDescent="0.2">
      <c r="A125" s="90" t="s">
        <v>685</v>
      </c>
      <c r="B125" s="277">
        <v>3</v>
      </c>
      <c r="C125" s="278">
        <v>1</v>
      </c>
      <c r="D125" s="278">
        <v>0</v>
      </c>
      <c r="E125" s="278">
        <v>0</v>
      </c>
      <c r="F125" s="279"/>
      <c r="G125" s="279">
        <v>0</v>
      </c>
      <c r="H125" s="279">
        <v>0</v>
      </c>
    </row>
    <row r="126" spans="1:8" ht="25.5" hidden="1" x14ac:dyDescent="0.2">
      <c r="A126" s="90" t="s">
        <v>680</v>
      </c>
      <c r="B126" s="212">
        <v>4</v>
      </c>
      <c r="C126" s="213">
        <v>1</v>
      </c>
      <c r="D126" s="213">
        <v>0</v>
      </c>
      <c r="E126" s="213">
        <v>0</v>
      </c>
      <c r="F126" s="214"/>
      <c r="G126" s="214">
        <v>0</v>
      </c>
      <c r="H126" s="214">
        <v>0</v>
      </c>
    </row>
    <row r="127" spans="1:8" hidden="1" x14ac:dyDescent="0.2">
      <c r="A127" s="6" t="s">
        <v>137</v>
      </c>
      <c r="B127" s="2">
        <v>9000</v>
      </c>
      <c r="C127" s="2" t="s">
        <v>12</v>
      </c>
      <c r="D127" s="2" t="s">
        <v>12</v>
      </c>
      <c r="E127" s="2" t="s">
        <v>12</v>
      </c>
      <c r="F127" s="70">
        <f>F122+F124+F126+F123</f>
        <v>0</v>
      </c>
      <c r="G127" s="70">
        <f>SUM(G122:G122)</f>
        <v>0</v>
      </c>
      <c r="H127" s="70">
        <f>SUM(H122:H122)</f>
        <v>0</v>
      </c>
    </row>
    <row r="129" spans="6:8" x14ac:dyDescent="0.2">
      <c r="F129" s="40"/>
      <c r="G129" s="40"/>
      <c r="H129" s="40"/>
    </row>
  </sheetData>
  <mergeCells count="43">
    <mergeCell ref="F62:H62"/>
    <mergeCell ref="A109:A111"/>
    <mergeCell ref="B109:B111"/>
    <mergeCell ref="C109:E109"/>
    <mergeCell ref="F109:H109"/>
    <mergeCell ref="A86:A88"/>
    <mergeCell ref="B86:B88"/>
    <mergeCell ref="C86:E86"/>
    <mergeCell ref="F86:H86"/>
    <mergeCell ref="A74:A76"/>
    <mergeCell ref="B74:B76"/>
    <mergeCell ref="C74:E74"/>
    <mergeCell ref="F74:H74"/>
    <mergeCell ref="A65:A67"/>
    <mergeCell ref="B65:B67"/>
    <mergeCell ref="A62:A64"/>
    <mergeCell ref="F118:H118"/>
    <mergeCell ref="A100:A102"/>
    <mergeCell ref="B100:B102"/>
    <mergeCell ref="C100:E100"/>
    <mergeCell ref="F100:H100"/>
    <mergeCell ref="B62:B64"/>
    <mergeCell ref="C62:E62"/>
    <mergeCell ref="A118:A120"/>
    <mergeCell ref="B118:B120"/>
    <mergeCell ref="C118:E118"/>
    <mergeCell ref="F50:H50"/>
    <mergeCell ref="A37:A39"/>
    <mergeCell ref="B37:B39"/>
    <mergeCell ref="C37:E37"/>
    <mergeCell ref="F37:H37"/>
    <mergeCell ref="A50:A52"/>
    <mergeCell ref="B50:B52"/>
    <mergeCell ref="C50:E50"/>
    <mergeCell ref="A1:H2"/>
    <mergeCell ref="A29:A31"/>
    <mergeCell ref="B29:B31"/>
    <mergeCell ref="C29:E29"/>
    <mergeCell ref="F29:H29"/>
    <mergeCell ref="A5:A7"/>
    <mergeCell ref="B5:B7"/>
    <mergeCell ref="C5:E5"/>
    <mergeCell ref="F5:H5"/>
  </mergeCells>
  <phoneticPr fontId="12" type="noConversion"/>
  <pageMargins left="0.7" right="0.7" top="0.75" bottom="0.75" header="0.3" footer="0.3"/>
  <pageSetup paperSize="9" scale="89" orientation="landscape" r:id="rId1"/>
  <rowBreaks count="1" manualBreakCount="1">
    <brk id="46" max="7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2"/>
  <sheetViews>
    <sheetView zoomScaleNormal="100" workbookViewId="0">
      <selection activeCell="I122" sqref="I122"/>
    </sheetView>
  </sheetViews>
  <sheetFormatPr defaultRowHeight="12.75" x14ac:dyDescent="0.2"/>
  <cols>
    <col min="1" max="1" width="28.85546875" style="3" customWidth="1"/>
    <col min="2" max="2" width="9.140625" style="3"/>
    <col min="3" max="11" width="14.5703125" style="3" customWidth="1"/>
    <col min="12" max="16384" width="9.140625" style="3"/>
  </cols>
  <sheetData>
    <row r="1" spans="1:11" x14ac:dyDescent="0.2">
      <c r="A1" s="3" t="s">
        <v>314</v>
      </c>
    </row>
    <row r="3" spans="1:11" x14ac:dyDescent="0.2">
      <c r="A3" s="3" t="s">
        <v>338</v>
      </c>
    </row>
    <row r="4" spans="1:11" x14ac:dyDescent="0.2">
      <c r="A4" s="335" t="s">
        <v>219</v>
      </c>
      <c r="B4" s="335" t="s">
        <v>1</v>
      </c>
      <c r="C4" s="335" t="s">
        <v>315</v>
      </c>
      <c r="D4" s="335"/>
      <c r="E4" s="335"/>
      <c r="F4" s="335" t="s">
        <v>316</v>
      </c>
      <c r="G4" s="335"/>
      <c r="H4" s="335"/>
      <c r="I4" s="335" t="s">
        <v>117</v>
      </c>
      <c r="J4" s="335"/>
      <c r="K4" s="335"/>
    </row>
    <row r="5" spans="1:11" x14ac:dyDescent="0.2">
      <c r="A5" s="335"/>
      <c r="B5" s="335"/>
      <c r="C5" s="290" t="s">
        <v>582</v>
      </c>
      <c r="D5" s="290" t="s">
        <v>614</v>
      </c>
      <c r="E5" s="290" t="s">
        <v>694</v>
      </c>
      <c r="F5" s="290" t="s">
        <v>582</v>
      </c>
      <c r="G5" s="290" t="s">
        <v>614</v>
      </c>
      <c r="H5" s="290" t="s">
        <v>694</v>
      </c>
      <c r="I5" s="290" t="s">
        <v>582</v>
      </c>
      <c r="J5" s="290" t="s">
        <v>614</v>
      </c>
      <c r="K5" s="290" t="s">
        <v>694</v>
      </c>
    </row>
    <row r="6" spans="1:11" ht="38.25" x14ac:dyDescent="0.2">
      <c r="A6" s="335"/>
      <c r="B6" s="335"/>
      <c r="C6" s="2" t="s">
        <v>79</v>
      </c>
      <c r="D6" s="2" t="s">
        <v>80</v>
      </c>
      <c r="E6" s="2" t="s">
        <v>81</v>
      </c>
      <c r="F6" s="2" t="s">
        <v>79</v>
      </c>
      <c r="G6" s="2" t="s">
        <v>80</v>
      </c>
      <c r="H6" s="2" t="s">
        <v>81</v>
      </c>
      <c r="I6" s="2" t="s">
        <v>79</v>
      </c>
      <c r="J6" s="2" t="s">
        <v>80</v>
      </c>
      <c r="K6" s="2" t="s">
        <v>81</v>
      </c>
    </row>
    <row r="7" spans="1:11" x14ac:dyDescent="0.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</row>
    <row r="8" spans="1:11" x14ac:dyDescent="0.2">
      <c r="A8" s="6" t="s">
        <v>385</v>
      </c>
      <c r="B8" s="2">
        <v>1</v>
      </c>
      <c r="C8" s="6">
        <v>145</v>
      </c>
      <c r="D8" s="6">
        <v>140</v>
      </c>
      <c r="E8" s="6">
        <v>140</v>
      </c>
      <c r="F8" s="5">
        <v>1000</v>
      </c>
      <c r="G8" s="5">
        <v>1000</v>
      </c>
      <c r="H8" s="5">
        <v>1000</v>
      </c>
      <c r="I8" s="5">
        <v>300000</v>
      </c>
      <c r="J8" s="5">
        <v>300000</v>
      </c>
      <c r="K8" s="5">
        <v>300000</v>
      </c>
    </row>
    <row r="9" spans="1:11" ht="25.5" x14ac:dyDescent="0.2">
      <c r="A9" s="6" t="s">
        <v>386</v>
      </c>
      <c r="B9" s="2">
        <v>2</v>
      </c>
      <c r="C9" s="6">
        <v>100</v>
      </c>
      <c r="D9" s="6">
        <v>100</v>
      </c>
      <c r="E9" s="6">
        <v>100</v>
      </c>
      <c r="F9" s="5">
        <v>1000</v>
      </c>
      <c r="G9" s="5">
        <v>1000</v>
      </c>
      <c r="H9" s="5">
        <v>1000</v>
      </c>
      <c r="I9" s="5">
        <v>100000</v>
      </c>
      <c r="J9" s="5">
        <v>100000</v>
      </c>
      <c r="K9" s="5">
        <v>100000</v>
      </c>
    </row>
    <row r="10" spans="1:11" ht="25.5" x14ac:dyDescent="0.2">
      <c r="A10" s="6" t="s">
        <v>387</v>
      </c>
      <c r="B10" s="2">
        <v>3</v>
      </c>
      <c r="C10" s="6">
        <v>20</v>
      </c>
      <c r="D10" s="6">
        <v>20</v>
      </c>
      <c r="E10" s="6">
        <v>20</v>
      </c>
      <c r="F10" s="5">
        <v>10000</v>
      </c>
      <c r="G10" s="5">
        <v>10000</v>
      </c>
      <c r="H10" s="5">
        <v>10000</v>
      </c>
      <c r="I10" s="5">
        <v>200000</v>
      </c>
      <c r="J10" s="5">
        <v>200000</v>
      </c>
      <c r="K10" s="5">
        <v>200000</v>
      </c>
    </row>
    <row r="11" spans="1:11" x14ac:dyDescent="0.2">
      <c r="A11" s="6" t="s">
        <v>337</v>
      </c>
      <c r="B11" s="2">
        <v>4</v>
      </c>
      <c r="C11" s="6">
        <v>3000</v>
      </c>
      <c r="D11" s="6">
        <v>3000</v>
      </c>
      <c r="E11" s="6">
        <v>3000</v>
      </c>
      <c r="F11" s="5">
        <v>554.82000000000005</v>
      </c>
      <c r="G11" s="5">
        <v>554.82000000000005</v>
      </c>
      <c r="H11" s="5">
        <v>554.82000000000005</v>
      </c>
      <c r="I11" s="5">
        <v>3761540</v>
      </c>
      <c r="J11" s="5">
        <v>1899605</v>
      </c>
      <c r="K11" s="5">
        <v>1899605</v>
      </c>
    </row>
    <row r="12" spans="1:11" x14ac:dyDescent="0.2">
      <c r="A12" s="6" t="s">
        <v>388</v>
      </c>
      <c r="B12" s="2">
        <v>5</v>
      </c>
      <c r="C12" s="6">
        <v>10</v>
      </c>
      <c r="D12" s="6">
        <v>10</v>
      </c>
      <c r="E12" s="6">
        <v>10</v>
      </c>
      <c r="F12" s="5">
        <v>20000</v>
      </c>
      <c r="G12" s="5">
        <v>20000</v>
      </c>
      <c r="H12" s="5">
        <v>20000</v>
      </c>
      <c r="I12" s="5">
        <v>200000</v>
      </c>
      <c r="J12" s="5">
        <v>200000</v>
      </c>
      <c r="K12" s="5">
        <v>200000</v>
      </c>
    </row>
    <row r="13" spans="1:11" x14ac:dyDescent="0.2">
      <c r="A13" s="90" t="s">
        <v>619</v>
      </c>
      <c r="B13" s="2">
        <v>6</v>
      </c>
      <c r="C13" s="6">
        <v>9</v>
      </c>
      <c r="D13" s="6">
        <v>8</v>
      </c>
      <c r="E13" s="6">
        <v>8</v>
      </c>
      <c r="F13" s="5">
        <v>1000</v>
      </c>
      <c r="G13" s="5">
        <v>1000</v>
      </c>
      <c r="H13" s="5">
        <v>1000</v>
      </c>
      <c r="I13" s="5">
        <v>100000</v>
      </c>
      <c r="J13" s="5">
        <v>100000</v>
      </c>
      <c r="K13" s="5">
        <v>100000</v>
      </c>
    </row>
    <row r="14" spans="1:11" x14ac:dyDescent="0.2">
      <c r="A14" s="6" t="s">
        <v>137</v>
      </c>
      <c r="B14" s="2">
        <v>9000</v>
      </c>
      <c r="C14" s="2" t="s">
        <v>12</v>
      </c>
      <c r="D14" s="2" t="s">
        <v>12</v>
      </c>
      <c r="E14" s="2" t="s">
        <v>12</v>
      </c>
      <c r="F14" s="7" t="s">
        <v>12</v>
      </c>
      <c r="G14" s="7" t="s">
        <v>12</v>
      </c>
      <c r="H14" s="7" t="s">
        <v>12</v>
      </c>
      <c r="I14" s="70">
        <f>SUM(I8:I13)</f>
        <v>4661540</v>
      </c>
      <c r="J14" s="70">
        <f>SUM(J8:J13)</f>
        <v>2799605</v>
      </c>
      <c r="K14" s="70">
        <f>SUM(K8:K13)</f>
        <v>2799605</v>
      </c>
    </row>
    <row r="15" spans="1:11" hidden="1" x14ac:dyDescent="0.2">
      <c r="I15" s="47"/>
      <c r="J15" s="47"/>
      <c r="K15" s="47"/>
    </row>
    <row r="16" spans="1:11" hidden="1" x14ac:dyDescent="0.2">
      <c r="A16" s="3" t="s">
        <v>444</v>
      </c>
      <c r="I16" s="47"/>
      <c r="J16" s="47"/>
      <c r="K16" s="47"/>
    </row>
    <row r="17" spans="1:11" hidden="1" x14ac:dyDescent="0.2">
      <c r="A17" s="335" t="s">
        <v>219</v>
      </c>
      <c r="B17" s="335" t="s">
        <v>1</v>
      </c>
      <c r="C17" s="335" t="s">
        <v>315</v>
      </c>
      <c r="D17" s="335"/>
      <c r="E17" s="335"/>
      <c r="F17" s="335" t="s">
        <v>316</v>
      </c>
      <c r="G17" s="335"/>
      <c r="H17" s="335"/>
      <c r="I17" s="345" t="s">
        <v>117</v>
      </c>
      <c r="J17" s="345"/>
      <c r="K17" s="345"/>
    </row>
    <row r="18" spans="1:11" hidden="1" x14ac:dyDescent="0.2">
      <c r="A18" s="335"/>
      <c r="B18" s="335"/>
      <c r="C18" s="2" t="s">
        <v>363</v>
      </c>
      <c r="D18" s="2" t="s">
        <v>364</v>
      </c>
      <c r="E18" s="2" t="s">
        <v>365</v>
      </c>
      <c r="F18" s="2" t="s">
        <v>363</v>
      </c>
      <c r="G18" s="2" t="s">
        <v>364</v>
      </c>
      <c r="H18" s="2" t="s">
        <v>365</v>
      </c>
      <c r="I18" s="71" t="s">
        <v>363</v>
      </c>
      <c r="J18" s="71" t="s">
        <v>364</v>
      </c>
      <c r="K18" s="71" t="s">
        <v>365</v>
      </c>
    </row>
    <row r="19" spans="1:11" ht="38.25" hidden="1" x14ac:dyDescent="0.2">
      <c r="A19" s="335"/>
      <c r="B19" s="335"/>
      <c r="C19" s="2" t="s">
        <v>79</v>
      </c>
      <c r="D19" s="2" t="s">
        <v>80</v>
      </c>
      <c r="E19" s="2" t="s">
        <v>81</v>
      </c>
      <c r="F19" s="2" t="s">
        <v>79</v>
      </c>
      <c r="G19" s="2" t="s">
        <v>80</v>
      </c>
      <c r="H19" s="2" t="s">
        <v>81</v>
      </c>
      <c r="I19" s="71" t="s">
        <v>79</v>
      </c>
      <c r="J19" s="71" t="s">
        <v>80</v>
      </c>
      <c r="K19" s="71" t="s">
        <v>81</v>
      </c>
    </row>
    <row r="20" spans="1:11" hidden="1" x14ac:dyDescent="0.2">
      <c r="A20" s="2">
        <v>1</v>
      </c>
      <c r="B20" s="2">
        <v>2</v>
      </c>
      <c r="C20" s="2">
        <v>3</v>
      </c>
      <c r="D20" s="2">
        <v>4</v>
      </c>
      <c r="E20" s="2">
        <v>5</v>
      </c>
      <c r="F20" s="2">
        <v>6</v>
      </c>
      <c r="G20" s="2">
        <v>7</v>
      </c>
      <c r="H20" s="2">
        <v>8</v>
      </c>
      <c r="I20" s="71">
        <v>9</v>
      </c>
      <c r="J20" s="71">
        <v>10</v>
      </c>
      <c r="K20" s="71">
        <v>11</v>
      </c>
    </row>
    <row r="21" spans="1:11" hidden="1" x14ac:dyDescent="0.2">
      <c r="A21" s="6" t="s">
        <v>388</v>
      </c>
      <c r="B21" s="2">
        <v>1</v>
      </c>
      <c r="C21" s="6">
        <v>20</v>
      </c>
      <c r="D21" s="6">
        <v>0</v>
      </c>
      <c r="E21" s="6">
        <v>0</v>
      </c>
      <c r="F21" s="5"/>
      <c r="G21" s="6">
        <v>0</v>
      </c>
      <c r="H21" s="6">
        <v>0</v>
      </c>
      <c r="I21" s="70">
        <f>C21*F21</f>
        <v>0</v>
      </c>
      <c r="J21" s="44">
        <v>0</v>
      </c>
      <c r="K21" s="44">
        <v>0</v>
      </c>
    </row>
    <row r="22" spans="1:11" hidden="1" x14ac:dyDescent="0.2">
      <c r="A22" s="6" t="s">
        <v>385</v>
      </c>
      <c r="B22" s="2">
        <v>2</v>
      </c>
      <c r="C22" s="6">
        <v>20</v>
      </c>
      <c r="D22" s="6">
        <v>0</v>
      </c>
      <c r="E22" s="6">
        <v>0</v>
      </c>
      <c r="F22" s="5"/>
      <c r="G22" s="6">
        <v>0</v>
      </c>
      <c r="H22" s="6">
        <v>0</v>
      </c>
      <c r="I22" s="70"/>
      <c r="J22" s="44">
        <v>0</v>
      </c>
      <c r="K22" s="44">
        <v>0</v>
      </c>
    </row>
    <row r="23" spans="1:11" hidden="1" x14ac:dyDescent="0.2">
      <c r="A23" s="6" t="s">
        <v>137</v>
      </c>
      <c r="B23" s="2">
        <v>9000</v>
      </c>
      <c r="C23" s="2" t="s">
        <v>12</v>
      </c>
      <c r="D23" s="2" t="s">
        <v>12</v>
      </c>
      <c r="E23" s="2" t="s">
        <v>12</v>
      </c>
      <c r="F23" s="7" t="s">
        <v>12</v>
      </c>
      <c r="G23" s="7" t="s">
        <v>12</v>
      </c>
      <c r="H23" s="7" t="s">
        <v>12</v>
      </c>
      <c r="I23" s="70">
        <f>SUM(I21:I22)</f>
        <v>0</v>
      </c>
      <c r="J23" s="70">
        <f>SUM(J21:J22)</f>
        <v>0</v>
      </c>
      <c r="K23" s="70">
        <f>SUM(K21:K22)</f>
        <v>0</v>
      </c>
    </row>
    <row r="24" spans="1:11" hidden="1" x14ac:dyDescent="0.2">
      <c r="I24" s="47"/>
      <c r="J24" s="47"/>
      <c r="K24" s="47"/>
    </row>
    <row r="25" spans="1:11" hidden="1" x14ac:dyDescent="0.2">
      <c r="A25" s="3" t="s">
        <v>345</v>
      </c>
      <c r="I25" s="47"/>
      <c r="J25" s="47"/>
      <c r="K25" s="47"/>
    </row>
    <row r="26" spans="1:11" hidden="1" x14ac:dyDescent="0.2">
      <c r="A26" s="335" t="s">
        <v>219</v>
      </c>
      <c r="B26" s="335" t="s">
        <v>1</v>
      </c>
      <c r="C26" s="335" t="s">
        <v>315</v>
      </c>
      <c r="D26" s="335"/>
      <c r="E26" s="335"/>
      <c r="F26" s="335" t="s">
        <v>316</v>
      </c>
      <c r="G26" s="335"/>
      <c r="H26" s="335"/>
      <c r="I26" s="345" t="s">
        <v>117</v>
      </c>
      <c r="J26" s="345"/>
      <c r="K26" s="345"/>
    </row>
    <row r="27" spans="1:11" hidden="1" x14ac:dyDescent="0.2">
      <c r="A27" s="335"/>
      <c r="B27" s="335"/>
      <c r="C27" s="2" t="s">
        <v>4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4</v>
      </c>
      <c r="I27" s="71" t="s">
        <v>4</v>
      </c>
      <c r="J27" s="71" t="s">
        <v>4</v>
      </c>
      <c r="K27" s="71" t="s">
        <v>4</v>
      </c>
    </row>
    <row r="28" spans="1:11" ht="38.25" hidden="1" x14ac:dyDescent="0.2">
      <c r="A28" s="335"/>
      <c r="B28" s="335"/>
      <c r="C28" s="2" t="s">
        <v>79</v>
      </c>
      <c r="D28" s="2" t="s">
        <v>80</v>
      </c>
      <c r="E28" s="2" t="s">
        <v>81</v>
      </c>
      <c r="F28" s="2" t="s">
        <v>79</v>
      </c>
      <c r="G28" s="2" t="s">
        <v>80</v>
      </c>
      <c r="H28" s="2" t="s">
        <v>81</v>
      </c>
      <c r="I28" s="71" t="s">
        <v>79</v>
      </c>
      <c r="J28" s="71" t="s">
        <v>80</v>
      </c>
      <c r="K28" s="71" t="s">
        <v>81</v>
      </c>
    </row>
    <row r="29" spans="1:11" hidden="1" x14ac:dyDescent="0.2">
      <c r="A29" s="2">
        <v>1</v>
      </c>
      <c r="B29" s="2">
        <v>2</v>
      </c>
      <c r="C29" s="2">
        <v>3</v>
      </c>
      <c r="D29" s="2">
        <v>4</v>
      </c>
      <c r="E29" s="2">
        <v>5</v>
      </c>
      <c r="F29" s="2">
        <v>6</v>
      </c>
      <c r="G29" s="2">
        <v>7</v>
      </c>
      <c r="H29" s="2">
        <v>8</v>
      </c>
      <c r="I29" s="71">
        <v>9</v>
      </c>
      <c r="J29" s="71">
        <v>10</v>
      </c>
      <c r="K29" s="71">
        <v>11</v>
      </c>
    </row>
    <row r="30" spans="1:11" hidden="1" x14ac:dyDescent="0.2">
      <c r="A30" s="6" t="s">
        <v>346</v>
      </c>
      <c r="B30" s="2">
        <v>1</v>
      </c>
      <c r="C30" s="6">
        <v>1</v>
      </c>
      <c r="D30" s="6"/>
      <c r="E30" s="6"/>
      <c r="F30" s="5">
        <v>120000</v>
      </c>
      <c r="G30" s="5"/>
      <c r="H30" s="5"/>
      <c r="I30" s="70"/>
      <c r="J30" s="70"/>
      <c r="K30" s="70"/>
    </row>
    <row r="31" spans="1:11" hidden="1" x14ac:dyDescent="0.2">
      <c r="A31" s="6" t="s">
        <v>137</v>
      </c>
      <c r="B31" s="2">
        <v>9000</v>
      </c>
      <c r="C31" s="2" t="s">
        <v>12</v>
      </c>
      <c r="D31" s="2" t="s">
        <v>12</v>
      </c>
      <c r="E31" s="2" t="s">
        <v>12</v>
      </c>
      <c r="F31" s="7" t="s">
        <v>12</v>
      </c>
      <c r="G31" s="7" t="s">
        <v>12</v>
      </c>
      <c r="H31" s="7" t="s">
        <v>12</v>
      </c>
      <c r="I31" s="70">
        <f>SUM(I30:I30)</f>
        <v>0</v>
      </c>
      <c r="J31" s="70">
        <f>SUM(J30:J30)</f>
        <v>0</v>
      </c>
      <c r="K31" s="70">
        <f>SUM(K30:K30)</f>
        <v>0</v>
      </c>
    </row>
    <row r="32" spans="1:11" hidden="1" x14ac:dyDescent="0.2">
      <c r="I32" s="47"/>
      <c r="J32" s="47"/>
      <c r="K32" s="47"/>
    </row>
    <row r="33" spans="1:11" hidden="1" x14ac:dyDescent="0.2">
      <c r="A33" s="3" t="s">
        <v>283</v>
      </c>
      <c r="I33" s="47"/>
      <c r="J33" s="47"/>
      <c r="K33" s="47"/>
    </row>
    <row r="34" spans="1:11" hidden="1" x14ac:dyDescent="0.2">
      <c r="A34" s="335" t="s">
        <v>219</v>
      </c>
      <c r="B34" s="335" t="s">
        <v>1</v>
      </c>
      <c r="C34" s="335" t="s">
        <v>315</v>
      </c>
      <c r="D34" s="335"/>
      <c r="E34" s="335"/>
      <c r="F34" s="335" t="s">
        <v>316</v>
      </c>
      <c r="G34" s="335"/>
      <c r="H34" s="335"/>
      <c r="I34" s="345" t="s">
        <v>117</v>
      </c>
      <c r="J34" s="345"/>
      <c r="K34" s="345"/>
    </row>
    <row r="35" spans="1:11" hidden="1" x14ac:dyDescent="0.2">
      <c r="A35" s="335"/>
      <c r="B35" s="335"/>
      <c r="C35" s="2" t="s">
        <v>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4</v>
      </c>
      <c r="I35" s="71" t="s">
        <v>4</v>
      </c>
      <c r="J35" s="71" t="s">
        <v>4</v>
      </c>
      <c r="K35" s="71" t="s">
        <v>4</v>
      </c>
    </row>
    <row r="36" spans="1:11" ht="38.25" hidden="1" x14ac:dyDescent="0.2">
      <c r="A36" s="335"/>
      <c r="B36" s="335"/>
      <c r="C36" s="2" t="s">
        <v>79</v>
      </c>
      <c r="D36" s="2" t="s">
        <v>80</v>
      </c>
      <c r="E36" s="2" t="s">
        <v>81</v>
      </c>
      <c r="F36" s="2" t="s">
        <v>79</v>
      </c>
      <c r="G36" s="2" t="s">
        <v>80</v>
      </c>
      <c r="H36" s="2" t="s">
        <v>81</v>
      </c>
      <c r="I36" s="71" t="s">
        <v>79</v>
      </c>
      <c r="J36" s="71" t="s">
        <v>80</v>
      </c>
      <c r="K36" s="71" t="s">
        <v>81</v>
      </c>
    </row>
    <row r="37" spans="1:11" hidden="1" x14ac:dyDescent="0.2">
      <c r="A37" s="2">
        <v>1</v>
      </c>
      <c r="B37" s="2">
        <v>2</v>
      </c>
      <c r="C37" s="2">
        <v>3</v>
      </c>
      <c r="D37" s="2">
        <v>4</v>
      </c>
      <c r="E37" s="2">
        <v>5</v>
      </c>
      <c r="F37" s="2">
        <v>6</v>
      </c>
      <c r="G37" s="2">
        <v>7</v>
      </c>
      <c r="H37" s="2">
        <v>8</v>
      </c>
      <c r="I37" s="71">
        <v>9</v>
      </c>
      <c r="J37" s="71">
        <v>10</v>
      </c>
      <c r="K37" s="71">
        <v>11</v>
      </c>
    </row>
    <row r="38" spans="1:11" hidden="1" x14ac:dyDescent="0.2">
      <c r="A38" s="6"/>
      <c r="B38" s="2">
        <v>1</v>
      </c>
      <c r="C38" s="6">
        <v>104</v>
      </c>
      <c r="D38" s="6"/>
      <c r="E38" s="6"/>
      <c r="F38" s="5">
        <v>8486.5400000000009</v>
      </c>
      <c r="G38" s="5"/>
      <c r="H38" s="5"/>
      <c r="I38" s="70"/>
      <c r="J38" s="70"/>
      <c r="K38" s="70"/>
    </row>
    <row r="39" spans="1:11" hidden="1" x14ac:dyDescent="0.2">
      <c r="A39" s="6" t="s">
        <v>348</v>
      </c>
      <c r="B39" s="2"/>
      <c r="C39" s="6">
        <v>104</v>
      </c>
      <c r="D39" s="6"/>
      <c r="E39" s="6"/>
      <c r="F39" s="5">
        <v>360.82</v>
      </c>
      <c r="G39" s="5"/>
      <c r="H39" s="5"/>
      <c r="I39" s="70"/>
      <c r="J39" s="70"/>
      <c r="K39" s="70"/>
    </row>
    <row r="40" spans="1:11" hidden="1" x14ac:dyDescent="0.2">
      <c r="A40" s="6" t="s">
        <v>137</v>
      </c>
      <c r="B40" s="2">
        <v>9000</v>
      </c>
      <c r="C40" s="2" t="s">
        <v>12</v>
      </c>
      <c r="D40" s="2" t="s">
        <v>12</v>
      </c>
      <c r="E40" s="2" t="s">
        <v>12</v>
      </c>
      <c r="F40" s="7" t="s">
        <v>12</v>
      </c>
      <c r="G40" s="7" t="s">
        <v>12</v>
      </c>
      <c r="H40" s="7" t="s">
        <v>12</v>
      </c>
      <c r="I40" s="70">
        <f>SUM(I38:I39)</f>
        <v>0</v>
      </c>
      <c r="J40" s="70">
        <f>SUM(J38:J39)</f>
        <v>0</v>
      </c>
      <c r="K40" s="70">
        <f>SUM(K38:K39)</f>
        <v>0</v>
      </c>
    </row>
    <row r="41" spans="1:11" hidden="1" x14ac:dyDescent="0.2">
      <c r="I41" s="47"/>
      <c r="J41" s="47"/>
      <c r="K41" s="47"/>
    </row>
    <row r="42" spans="1:11" hidden="1" x14ac:dyDescent="0.2">
      <c r="A42" s="3" t="s">
        <v>309</v>
      </c>
      <c r="I42" s="47"/>
      <c r="J42" s="47"/>
      <c r="K42" s="47"/>
    </row>
    <row r="43" spans="1:11" hidden="1" x14ac:dyDescent="0.2">
      <c r="A43" s="335" t="s">
        <v>219</v>
      </c>
      <c r="B43" s="335" t="s">
        <v>1</v>
      </c>
      <c r="C43" s="335" t="s">
        <v>315</v>
      </c>
      <c r="D43" s="335"/>
      <c r="E43" s="335"/>
      <c r="F43" s="335" t="s">
        <v>316</v>
      </c>
      <c r="G43" s="335"/>
      <c r="H43" s="335"/>
      <c r="I43" s="345" t="s">
        <v>117</v>
      </c>
      <c r="J43" s="345"/>
      <c r="K43" s="345"/>
    </row>
    <row r="44" spans="1:11" hidden="1" x14ac:dyDescent="0.2">
      <c r="A44" s="335"/>
      <c r="B44" s="335"/>
      <c r="C44" s="2" t="s">
        <v>4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4</v>
      </c>
      <c r="I44" s="71" t="s">
        <v>4</v>
      </c>
      <c r="J44" s="71" t="s">
        <v>4</v>
      </c>
      <c r="K44" s="71" t="s">
        <v>4</v>
      </c>
    </row>
    <row r="45" spans="1:11" ht="38.25" hidden="1" x14ac:dyDescent="0.2">
      <c r="A45" s="335"/>
      <c r="B45" s="335"/>
      <c r="C45" s="2" t="s">
        <v>79</v>
      </c>
      <c r="D45" s="2" t="s">
        <v>80</v>
      </c>
      <c r="E45" s="2" t="s">
        <v>81</v>
      </c>
      <c r="F45" s="2" t="s">
        <v>79</v>
      </c>
      <c r="G45" s="2" t="s">
        <v>80</v>
      </c>
      <c r="H45" s="2" t="s">
        <v>81</v>
      </c>
      <c r="I45" s="71" t="s">
        <v>79</v>
      </c>
      <c r="J45" s="71" t="s">
        <v>80</v>
      </c>
      <c r="K45" s="71" t="s">
        <v>81</v>
      </c>
    </row>
    <row r="46" spans="1:11" hidden="1" x14ac:dyDescent="0.2">
      <c r="A46" s="2">
        <v>1</v>
      </c>
      <c r="B46" s="2">
        <v>2</v>
      </c>
      <c r="C46" s="2">
        <v>3</v>
      </c>
      <c r="D46" s="2">
        <v>4</v>
      </c>
      <c r="E46" s="2">
        <v>5</v>
      </c>
      <c r="F46" s="2">
        <v>6</v>
      </c>
      <c r="G46" s="2">
        <v>7</v>
      </c>
      <c r="H46" s="2">
        <v>8</v>
      </c>
      <c r="I46" s="71">
        <v>9</v>
      </c>
      <c r="J46" s="71">
        <v>10</v>
      </c>
      <c r="K46" s="71">
        <v>11</v>
      </c>
    </row>
    <row r="47" spans="1:11" hidden="1" x14ac:dyDescent="0.2">
      <c r="A47" s="6" t="s">
        <v>354</v>
      </c>
      <c r="B47" s="2">
        <v>1</v>
      </c>
      <c r="C47" s="6">
        <v>1</v>
      </c>
      <c r="D47" s="6"/>
      <c r="E47" s="6"/>
      <c r="F47" s="5"/>
      <c r="G47" s="5"/>
      <c r="H47" s="5"/>
      <c r="I47" s="70">
        <f>C47*F47</f>
        <v>0</v>
      </c>
      <c r="J47" s="70"/>
      <c r="K47" s="70"/>
    </row>
    <row r="48" spans="1:11" hidden="1" x14ac:dyDescent="0.2">
      <c r="A48" s="6" t="s">
        <v>137</v>
      </c>
      <c r="B48" s="2">
        <v>9000</v>
      </c>
      <c r="C48" s="2" t="s">
        <v>12</v>
      </c>
      <c r="D48" s="2" t="s">
        <v>12</v>
      </c>
      <c r="E48" s="2" t="s">
        <v>12</v>
      </c>
      <c r="F48" s="7" t="s">
        <v>12</v>
      </c>
      <c r="G48" s="7" t="s">
        <v>12</v>
      </c>
      <c r="H48" s="7" t="s">
        <v>12</v>
      </c>
      <c r="I48" s="70">
        <f>SUM(I47:I47)</f>
        <v>0</v>
      </c>
      <c r="J48" s="70">
        <f>SUM(J47:J47)</f>
        <v>0</v>
      </c>
      <c r="K48" s="70">
        <f>SUM(K47:K47)</f>
        <v>0</v>
      </c>
    </row>
    <row r="49" spans="1:12" hidden="1" x14ac:dyDescent="0.2">
      <c r="I49" s="47"/>
      <c r="J49" s="47"/>
      <c r="K49" s="47"/>
    </row>
    <row r="50" spans="1:12" hidden="1" x14ac:dyDescent="0.2">
      <c r="A50" s="3" t="s">
        <v>389</v>
      </c>
      <c r="I50" s="47"/>
      <c r="J50" s="47"/>
      <c r="K50" s="47"/>
    </row>
    <row r="51" spans="1:12" hidden="1" x14ac:dyDescent="0.2">
      <c r="A51" s="335" t="s">
        <v>219</v>
      </c>
      <c r="B51" s="335" t="s">
        <v>1</v>
      </c>
      <c r="C51" s="335" t="s">
        <v>315</v>
      </c>
      <c r="D51" s="335"/>
      <c r="E51" s="335"/>
      <c r="F51" s="335" t="s">
        <v>316</v>
      </c>
      <c r="G51" s="335"/>
      <c r="H51" s="335"/>
      <c r="I51" s="345" t="s">
        <v>117</v>
      </c>
      <c r="J51" s="345"/>
      <c r="K51" s="345"/>
    </row>
    <row r="52" spans="1:12" hidden="1" x14ac:dyDescent="0.2">
      <c r="A52" s="335"/>
      <c r="B52" s="335"/>
      <c r="C52" s="2" t="s">
        <v>4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4</v>
      </c>
      <c r="I52" s="71" t="s">
        <v>4</v>
      </c>
      <c r="J52" s="71" t="s">
        <v>4</v>
      </c>
      <c r="K52" s="71" t="s">
        <v>4</v>
      </c>
    </row>
    <row r="53" spans="1:12" ht="38.25" hidden="1" x14ac:dyDescent="0.2">
      <c r="A53" s="335"/>
      <c r="B53" s="335"/>
      <c r="C53" s="2" t="s">
        <v>79</v>
      </c>
      <c r="D53" s="2" t="s">
        <v>80</v>
      </c>
      <c r="E53" s="2" t="s">
        <v>81</v>
      </c>
      <c r="F53" s="2" t="s">
        <v>79</v>
      </c>
      <c r="G53" s="2" t="s">
        <v>80</v>
      </c>
      <c r="H53" s="2" t="s">
        <v>81</v>
      </c>
      <c r="I53" s="71" t="s">
        <v>79</v>
      </c>
      <c r="J53" s="71" t="s">
        <v>80</v>
      </c>
      <c r="K53" s="71" t="s">
        <v>81</v>
      </c>
    </row>
    <row r="54" spans="1:12" hidden="1" x14ac:dyDescent="0.2">
      <c r="A54" s="2">
        <v>1</v>
      </c>
      <c r="B54" s="2">
        <v>2</v>
      </c>
      <c r="C54" s="2">
        <v>3</v>
      </c>
      <c r="D54" s="2">
        <v>4</v>
      </c>
      <c r="E54" s="2">
        <v>5</v>
      </c>
      <c r="F54" s="2">
        <v>6</v>
      </c>
      <c r="G54" s="2">
        <v>7</v>
      </c>
      <c r="H54" s="2">
        <v>8</v>
      </c>
      <c r="I54" s="71">
        <v>9</v>
      </c>
      <c r="J54" s="71">
        <v>10</v>
      </c>
      <c r="K54" s="71">
        <v>11</v>
      </c>
    </row>
    <row r="55" spans="1:12" hidden="1" x14ac:dyDescent="0.2">
      <c r="A55" s="6" t="s">
        <v>390</v>
      </c>
      <c r="B55" s="2">
        <v>1</v>
      </c>
      <c r="C55" s="6">
        <v>1</v>
      </c>
      <c r="D55" s="6"/>
      <c r="E55" s="6"/>
      <c r="F55" s="5">
        <v>270</v>
      </c>
      <c r="G55" s="5"/>
      <c r="H55" s="5"/>
      <c r="I55" s="70"/>
      <c r="J55" s="70"/>
      <c r="K55" s="70"/>
    </row>
    <row r="56" spans="1:12" hidden="1" x14ac:dyDescent="0.2">
      <c r="A56" s="6" t="s">
        <v>137</v>
      </c>
      <c r="B56" s="2">
        <v>9000</v>
      </c>
      <c r="C56" s="2" t="s">
        <v>12</v>
      </c>
      <c r="D56" s="2" t="s">
        <v>12</v>
      </c>
      <c r="E56" s="2" t="s">
        <v>12</v>
      </c>
      <c r="F56" s="7" t="s">
        <v>12</v>
      </c>
      <c r="G56" s="7" t="s">
        <v>12</v>
      </c>
      <c r="H56" s="7" t="s">
        <v>12</v>
      </c>
      <c r="I56" s="70">
        <f>SUM(I55:I55)</f>
        <v>0</v>
      </c>
      <c r="J56" s="70">
        <f>SUM(J55:J55)</f>
        <v>0</v>
      </c>
      <c r="K56" s="70">
        <f>SUM(K55:K55)</f>
        <v>0</v>
      </c>
    </row>
    <row r="57" spans="1:12" hidden="1" x14ac:dyDescent="0.2">
      <c r="I57" s="47"/>
      <c r="J57" s="47"/>
      <c r="K57" s="47"/>
    </row>
    <row r="58" spans="1:12" hidden="1" x14ac:dyDescent="0.2">
      <c r="A58" s="3" t="s">
        <v>527</v>
      </c>
      <c r="I58" s="47"/>
      <c r="J58" s="47"/>
      <c r="K58" s="47"/>
    </row>
    <row r="59" spans="1:12" hidden="1" x14ac:dyDescent="0.2">
      <c r="A59" s="335" t="s">
        <v>219</v>
      </c>
      <c r="B59" s="335" t="s">
        <v>1</v>
      </c>
      <c r="C59" s="335" t="s">
        <v>315</v>
      </c>
      <c r="D59" s="335"/>
      <c r="E59" s="335"/>
      <c r="F59" s="335" t="s">
        <v>316</v>
      </c>
      <c r="G59" s="335"/>
      <c r="H59" s="335"/>
      <c r="I59" s="345" t="s">
        <v>117</v>
      </c>
      <c r="J59" s="345"/>
      <c r="K59" s="345"/>
    </row>
    <row r="60" spans="1:12" hidden="1" x14ac:dyDescent="0.2">
      <c r="A60" s="335"/>
      <c r="B60" s="335"/>
      <c r="C60" s="199" t="s">
        <v>365</v>
      </c>
      <c r="D60" s="199" t="s">
        <v>519</v>
      </c>
      <c r="E60" s="199" t="s">
        <v>582</v>
      </c>
      <c r="F60" s="199" t="s">
        <v>365</v>
      </c>
      <c r="G60" s="199" t="s">
        <v>519</v>
      </c>
      <c r="H60" s="199" t="s">
        <v>582</v>
      </c>
      <c r="I60" s="199" t="s">
        <v>365</v>
      </c>
      <c r="J60" s="199" t="s">
        <v>519</v>
      </c>
      <c r="K60" s="199" t="s">
        <v>582</v>
      </c>
    </row>
    <row r="61" spans="1:12" ht="38.25" hidden="1" x14ac:dyDescent="0.2">
      <c r="A61" s="335"/>
      <c r="B61" s="335"/>
      <c r="C61" s="2" t="s">
        <v>79</v>
      </c>
      <c r="D61" s="2" t="s">
        <v>80</v>
      </c>
      <c r="E61" s="2" t="s">
        <v>81</v>
      </c>
      <c r="F61" s="2" t="s">
        <v>79</v>
      </c>
      <c r="G61" s="2" t="s">
        <v>80</v>
      </c>
      <c r="H61" s="2" t="s">
        <v>81</v>
      </c>
      <c r="I61" s="71" t="s">
        <v>79</v>
      </c>
      <c r="J61" s="71" t="s">
        <v>80</v>
      </c>
      <c r="K61" s="71" t="s">
        <v>81</v>
      </c>
    </row>
    <row r="62" spans="1:12" hidden="1" x14ac:dyDescent="0.2">
      <c r="A62" s="2">
        <v>1</v>
      </c>
      <c r="B62" s="2">
        <v>2</v>
      </c>
      <c r="C62" s="2">
        <v>3</v>
      </c>
      <c r="D62" s="2">
        <v>4</v>
      </c>
      <c r="E62" s="2">
        <v>5</v>
      </c>
      <c r="F62" s="2">
        <v>6</v>
      </c>
      <c r="G62" s="2">
        <v>7</v>
      </c>
      <c r="H62" s="2">
        <v>8</v>
      </c>
      <c r="I62" s="71">
        <v>9</v>
      </c>
      <c r="J62" s="71">
        <v>10</v>
      </c>
      <c r="K62" s="71">
        <v>11</v>
      </c>
      <c r="L62" s="124" t="s">
        <v>590</v>
      </c>
    </row>
    <row r="63" spans="1:12" ht="38.25" hidden="1" x14ac:dyDescent="0.2">
      <c r="A63" s="90" t="s">
        <v>528</v>
      </c>
      <c r="B63" s="2">
        <v>1</v>
      </c>
      <c r="C63" s="6">
        <v>0</v>
      </c>
      <c r="D63" s="6">
        <v>2</v>
      </c>
      <c r="E63" s="6">
        <v>0</v>
      </c>
      <c r="F63" s="5">
        <v>0</v>
      </c>
      <c r="G63" s="62">
        <f>J63/D63</f>
        <v>0</v>
      </c>
      <c r="H63" s="6">
        <v>0</v>
      </c>
      <c r="I63" s="70">
        <v>0</v>
      </c>
      <c r="J63" s="78"/>
      <c r="K63" s="44">
        <v>0</v>
      </c>
    </row>
    <row r="64" spans="1:12" ht="38.25" hidden="1" x14ac:dyDescent="0.2">
      <c r="A64" s="90" t="s">
        <v>529</v>
      </c>
      <c r="B64" s="2">
        <v>2</v>
      </c>
      <c r="C64" s="6">
        <v>0</v>
      </c>
      <c r="D64" s="6">
        <v>35</v>
      </c>
      <c r="E64" s="6">
        <v>0</v>
      </c>
      <c r="F64" s="5">
        <v>0</v>
      </c>
      <c r="G64" s="62">
        <f t="shared" ref="G64" si="0">J64/D64</f>
        <v>0</v>
      </c>
      <c r="H64" s="6">
        <v>0</v>
      </c>
      <c r="I64" s="70">
        <v>0</v>
      </c>
      <c r="J64" s="78"/>
      <c r="K64" s="44">
        <v>0</v>
      </c>
    </row>
    <row r="65" spans="1:11" ht="38.25" hidden="1" x14ac:dyDescent="0.2">
      <c r="A65" s="90" t="s">
        <v>530</v>
      </c>
      <c r="B65" s="2">
        <v>3</v>
      </c>
      <c r="C65" s="6">
        <v>3</v>
      </c>
      <c r="D65" s="6">
        <v>0</v>
      </c>
      <c r="E65" s="6">
        <v>0</v>
      </c>
      <c r="F65" s="5">
        <f>I65/C65</f>
        <v>0</v>
      </c>
      <c r="G65" s="38">
        <v>0</v>
      </c>
      <c r="H65" s="38">
        <v>0</v>
      </c>
      <c r="I65" s="70"/>
      <c r="J65" s="178">
        <v>0</v>
      </c>
      <c r="K65" s="84">
        <v>0</v>
      </c>
    </row>
    <row r="66" spans="1:11" hidden="1" x14ac:dyDescent="0.2">
      <c r="A66" s="6" t="s">
        <v>137</v>
      </c>
      <c r="B66" s="2">
        <v>9000</v>
      </c>
      <c r="C66" s="2" t="s">
        <v>12</v>
      </c>
      <c r="D66" s="2" t="s">
        <v>12</v>
      </c>
      <c r="E66" s="2" t="s">
        <v>12</v>
      </c>
      <c r="F66" s="7" t="s">
        <v>12</v>
      </c>
      <c r="G66" s="7" t="s">
        <v>12</v>
      </c>
      <c r="H66" s="7" t="s">
        <v>12</v>
      </c>
      <c r="I66" s="70">
        <f>SUM(I63:I65)</f>
        <v>0</v>
      </c>
      <c r="J66" s="70">
        <f>SUM(J63:J65)</f>
        <v>0</v>
      </c>
      <c r="K66" s="70">
        <f>SUM(K63:K65)</f>
        <v>0</v>
      </c>
    </row>
    <row r="67" spans="1:11" hidden="1" x14ac:dyDescent="0.2">
      <c r="A67" s="3" t="s">
        <v>445</v>
      </c>
      <c r="I67" s="47"/>
      <c r="J67" s="47"/>
      <c r="K67" s="47"/>
    </row>
    <row r="68" spans="1:11" hidden="1" x14ac:dyDescent="0.2">
      <c r="A68" s="335" t="s">
        <v>219</v>
      </c>
      <c r="B68" s="335" t="s">
        <v>1</v>
      </c>
      <c r="C68" s="335" t="s">
        <v>315</v>
      </c>
      <c r="D68" s="335"/>
      <c r="E68" s="335"/>
      <c r="F68" s="335" t="s">
        <v>316</v>
      </c>
      <c r="G68" s="335"/>
      <c r="H68" s="335"/>
      <c r="I68" s="345" t="s">
        <v>117</v>
      </c>
      <c r="J68" s="345"/>
      <c r="K68" s="345"/>
    </row>
    <row r="69" spans="1:11" hidden="1" x14ac:dyDescent="0.2">
      <c r="A69" s="335"/>
      <c r="B69" s="335"/>
      <c r="C69" s="136" t="s">
        <v>364</v>
      </c>
      <c r="D69" s="136" t="s">
        <v>365</v>
      </c>
      <c r="E69" s="136" t="s">
        <v>519</v>
      </c>
      <c r="F69" s="136" t="s">
        <v>364</v>
      </c>
      <c r="G69" s="136" t="s">
        <v>365</v>
      </c>
      <c r="H69" s="136" t="s">
        <v>519</v>
      </c>
      <c r="I69" s="136" t="s">
        <v>364</v>
      </c>
      <c r="J69" s="136" t="s">
        <v>365</v>
      </c>
      <c r="K69" s="136" t="s">
        <v>519</v>
      </c>
    </row>
    <row r="70" spans="1:11" ht="38.25" hidden="1" x14ac:dyDescent="0.2">
      <c r="A70" s="335"/>
      <c r="B70" s="335"/>
      <c r="C70" s="2" t="s">
        <v>79</v>
      </c>
      <c r="D70" s="2" t="s">
        <v>80</v>
      </c>
      <c r="E70" s="2" t="s">
        <v>81</v>
      </c>
      <c r="F70" s="2" t="s">
        <v>79</v>
      </c>
      <c r="G70" s="2" t="s">
        <v>80</v>
      </c>
      <c r="H70" s="2" t="s">
        <v>81</v>
      </c>
      <c r="I70" s="71" t="s">
        <v>79</v>
      </c>
      <c r="J70" s="71" t="s">
        <v>80</v>
      </c>
      <c r="K70" s="71" t="s">
        <v>81</v>
      </c>
    </row>
    <row r="71" spans="1:11" hidden="1" x14ac:dyDescent="0.2">
      <c r="A71" s="2">
        <v>1</v>
      </c>
      <c r="B71" s="2">
        <v>2</v>
      </c>
      <c r="C71" s="2">
        <v>3</v>
      </c>
      <c r="D71" s="2">
        <v>4</v>
      </c>
      <c r="E71" s="2">
        <v>5</v>
      </c>
      <c r="F71" s="2">
        <v>6</v>
      </c>
      <c r="G71" s="2">
        <v>7</v>
      </c>
      <c r="H71" s="2">
        <v>8</v>
      </c>
      <c r="I71" s="71">
        <v>9</v>
      </c>
      <c r="J71" s="71">
        <v>10</v>
      </c>
      <c r="K71" s="71">
        <v>11</v>
      </c>
    </row>
    <row r="72" spans="1:11" ht="25.5" hidden="1" x14ac:dyDescent="0.2">
      <c r="A72" s="6" t="s">
        <v>408</v>
      </c>
      <c r="B72" s="2">
        <v>1</v>
      </c>
      <c r="C72" s="6">
        <v>0</v>
      </c>
      <c r="D72" s="6">
        <v>4</v>
      </c>
      <c r="E72" s="6">
        <v>0</v>
      </c>
      <c r="F72" s="5">
        <v>0</v>
      </c>
      <c r="G72" s="38">
        <v>23411.25</v>
      </c>
      <c r="H72" s="38">
        <v>0</v>
      </c>
      <c r="I72" s="70">
        <v>0</v>
      </c>
      <c r="J72" s="75"/>
      <c r="K72" s="75"/>
    </row>
    <row r="73" spans="1:11" ht="25.5" hidden="1" x14ac:dyDescent="0.2">
      <c r="A73" s="6" t="s">
        <v>409</v>
      </c>
      <c r="B73" s="2">
        <v>2</v>
      </c>
      <c r="C73" s="6">
        <v>0</v>
      </c>
      <c r="D73" s="6">
        <v>72</v>
      </c>
      <c r="E73" s="6">
        <v>0</v>
      </c>
      <c r="F73" s="5">
        <v>0</v>
      </c>
      <c r="G73" s="38">
        <v>25417.93</v>
      </c>
      <c r="H73" s="38">
        <v>0</v>
      </c>
      <c r="I73" s="70">
        <v>0</v>
      </c>
      <c r="J73" s="75"/>
      <c r="K73" s="75"/>
    </row>
    <row r="74" spans="1:11" ht="25.5" hidden="1" x14ac:dyDescent="0.2">
      <c r="A74" s="6" t="s">
        <v>410</v>
      </c>
      <c r="B74" s="2">
        <v>3</v>
      </c>
      <c r="C74" s="6">
        <v>0</v>
      </c>
      <c r="D74" s="6">
        <v>2</v>
      </c>
      <c r="E74" s="6">
        <v>0</v>
      </c>
      <c r="F74" s="5">
        <v>0</v>
      </c>
      <c r="G74" s="38">
        <v>19800</v>
      </c>
      <c r="H74" s="38">
        <v>0</v>
      </c>
      <c r="I74" s="70">
        <v>0</v>
      </c>
      <c r="J74" s="75"/>
      <c r="K74" s="83">
        <v>0</v>
      </c>
    </row>
    <row r="75" spans="1:11" hidden="1" x14ac:dyDescent="0.2">
      <c r="A75" s="6" t="s">
        <v>137</v>
      </c>
      <c r="B75" s="2">
        <v>9000</v>
      </c>
      <c r="C75" s="2" t="s">
        <v>12</v>
      </c>
      <c r="D75" s="2" t="s">
        <v>12</v>
      </c>
      <c r="E75" s="2" t="s">
        <v>12</v>
      </c>
      <c r="F75" s="7" t="s">
        <v>12</v>
      </c>
      <c r="G75" s="7" t="s">
        <v>12</v>
      </c>
      <c r="H75" s="7" t="s">
        <v>12</v>
      </c>
      <c r="I75" s="70">
        <f>SUM(I72:I74)</f>
        <v>0</v>
      </c>
      <c r="J75" s="70">
        <f>SUM(J72:J74)</f>
        <v>0</v>
      </c>
      <c r="K75" s="70">
        <f>SUM(K72:K74)</f>
        <v>0</v>
      </c>
    </row>
    <row r="76" spans="1:11" hidden="1" x14ac:dyDescent="0.2">
      <c r="A76" s="3" t="s">
        <v>447</v>
      </c>
      <c r="I76" s="47"/>
      <c r="J76" s="47"/>
      <c r="K76" s="47"/>
    </row>
    <row r="77" spans="1:11" hidden="1" x14ac:dyDescent="0.2">
      <c r="A77" s="335" t="s">
        <v>219</v>
      </c>
      <c r="B77" s="335" t="s">
        <v>1</v>
      </c>
      <c r="C77" s="335" t="s">
        <v>315</v>
      </c>
      <c r="D77" s="335"/>
      <c r="E77" s="335"/>
      <c r="F77" s="335" t="s">
        <v>316</v>
      </c>
      <c r="G77" s="335"/>
      <c r="H77" s="335"/>
      <c r="I77" s="345" t="s">
        <v>117</v>
      </c>
      <c r="J77" s="345"/>
      <c r="K77" s="345"/>
    </row>
    <row r="78" spans="1:11" hidden="1" x14ac:dyDescent="0.2">
      <c r="A78" s="335"/>
      <c r="B78" s="335"/>
      <c r="C78" s="2" t="s">
        <v>363</v>
      </c>
      <c r="D78" s="2" t="s">
        <v>364</v>
      </c>
      <c r="E78" s="2" t="s">
        <v>365</v>
      </c>
      <c r="F78" s="2" t="s">
        <v>363</v>
      </c>
      <c r="G78" s="2" t="s">
        <v>364</v>
      </c>
      <c r="H78" s="2" t="s">
        <v>365</v>
      </c>
      <c r="I78" s="71" t="s">
        <v>363</v>
      </c>
      <c r="J78" s="71" t="s">
        <v>364</v>
      </c>
      <c r="K78" s="71" t="s">
        <v>365</v>
      </c>
    </row>
    <row r="79" spans="1:11" ht="38.25" hidden="1" x14ac:dyDescent="0.2">
      <c r="A79" s="335"/>
      <c r="B79" s="335"/>
      <c r="C79" s="2" t="s">
        <v>79</v>
      </c>
      <c r="D79" s="2" t="s">
        <v>80</v>
      </c>
      <c r="E79" s="2" t="s">
        <v>81</v>
      </c>
      <c r="F79" s="2" t="s">
        <v>79</v>
      </c>
      <c r="G79" s="2" t="s">
        <v>80</v>
      </c>
      <c r="H79" s="2" t="s">
        <v>81</v>
      </c>
      <c r="I79" s="71" t="s">
        <v>79</v>
      </c>
      <c r="J79" s="71" t="s">
        <v>80</v>
      </c>
      <c r="K79" s="71" t="s">
        <v>81</v>
      </c>
    </row>
    <row r="80" spans="1:11" hidden="1" x14ac:dyDescent="0.2">
      <c r="A80" s="2">
        <v>1</v>
      </c>
      <c r="B80" s="2">
        <v>2</v>
      </c>
      <c r="C80" s="2">
        <v>3</v>
      </c>
      <c r="D80" s="2">
        <v>4</v>
      </c>
      <c r="E80" s="2">
        <v>5</v>
      </c>
      <c r="F80" s="2">
        <v>6</v>
      </c>
      <c r="G80" s="2">
        <v>7</v>
      </c>
      <c r="H80" s="2">
        <v>8</v>
      </c>
      <c r="I80" s="71">
        <v>9</v>
      </c>
      <c r="J80" s="71">
        <v>10</v>
      </c>
      <c r="K80" s="71">
        <v>11</v>
      </c>
    </row>
    <row r="81" spans="1:13" ht="38.25" hidden="1" x14ac:dyDescent="0.2">
      <c r="A81" s="6" t="s">
        <v>448</v>
      </c>
      <c r="B81" s="2">
        <v>1</v>
      </c>
      <c r="C81" s="6">
        <v>50.5</v>
      </c>
      <c r="D81" s="6">
        <v>0</v>
      </c>
      <c r="E81" s="6">
        <v>0</v>
      </c>
      <c r="F81" s="5">
        <f>I81/C81</f>
        <v>0</v>
      </c>
      <c r="G81" s="38">
        <v>0</v>
      </c>
      <c r="H81" s="38">
        <v>0</v>
      </c>
      <c r="I81" s="70"/>
      <c r="J81" s="84">
        <v>0</v>
      </c>
      <c r="K81" s="83">
        <v>0</v>
      </c>
    </row>
    <row r="82" spans="1:13" ht="38.25" hidden="1" x14ac:dyDescent="0.2">
      <c r="A82" s="6" t="s">
        <v>449</v>
      </c>
      <c r="B82" s="2">
        <v>2</v>
      </c>
      <c r="C82" s="6">
        <v>0.5</v>
      </c>
      <c r="D82" s="6">
        <v>0</v>
      </c>
      <c r="E82" s="6">
        <v>0</v>
      </c>
      <c r="F82" s="5">
        <f>I82/C82</f>
        <v>0</v>
      </c>
      <c r="G82" s="38">
        <v>0</v>
      </c>
      <c r="H82" s="38">
        <v>0</v>
      </c>
      <c r="I82" s="70"/>
      <c r="J82" s="84">
        <v>0</v>
      </c>
      <c r="K82" s="83">
        <v>0</v>
      </c>
    </row>
    <row r="83" spans="1:13" hidden="1" x14ac:dyDescent="0.2">
      <c r="A83" s="6" t="s">
        <v>137</v>
      </c>
      <c r="B83" s="2">
        <v>9000</v>
      </c>
      <c r="C83" s="2" t="s">
        <v>12</v>
      </c>
      <c r="D83" s="2" t="s">
        <v>12</v>
      </c>
      <c r="E83" s="2" t="s">
        <v>12</v>
      </c>
      <c r="F83" s="7" t="s">
        <v>12</v>
      </c>
      <c r="G83" s="7" t="s">
        <v>12</v>
      </c>
      <c r="H83" s="7" t="s">
        <v>12</v>
      </c>
      <c r="I83" s="70">
        <f>SUM(I81:I82)</f>
        <v>0</v>
      </c>
      <c r="J83" s="70">
        <f>SUM(J81:J82)</f>
        <v>0</v>
      </c>
      <c r="K83" s="70">
        <f>SUM(K81:K82)</f>
        <v>0</v>
      </c>
    </row>
    <row r="84" spans="1:13" x14ac:dyDescent="0.2">
      <c r="I84" s="47"/>
      <c r="J84" s="47"/>
      <c r="K84" s="47"/>
      <c r="L84" s="124" t="s">
        <v>590</v>
      </c>
      <c r="M84" s="124" t="s">
        <v>689</v>
      </c>
    </row>
    <row r="85" spans="1:13" hidden="1" x14ac:dyDescent="0.2">
      <c r="A85" s="3" t="s">
        <v>467</v>
      </c>
      <c r="I85" s="47"/>
      <c r="J85" s="47"/>
      <c r="K85" s="47"/>
    </row>
    <row r="86" spans="1:13" hidden="1" x14ac:dyDescent="0.2">
      <c r="A86" s="335" t="s">
        <v>219</v>
      </c>
      <c r="B86" s="335" t="s">
        <v>1</v>
      </c>
      <c r="C86" s="335" t="s">
        <v>315</v>
      </c>
      <c r="D86" s="335"/>
      <c r="E86" s="335"/>
      <c r="F86" s="335" t="s">
        <v>316</v>
      </c>
      <c r="G86" s="335"/>
      <c r="H86" s="335"/>
      <c r="I86" s="345" t="s">
        <v>117</v>
      </c>
      <c r="J86" s="345"/>
      <c r="K86" s="345"/>
    </row>
    <row r="87" spans="1:13" hidden="1" x14ac:dyDescent="0.2">
      <c r="A87" s="335"/>
      <c r="B87" s="335"/>
      <c r="C87" s="248" t="s">
        <v>519</v>
      </c>
      <c r="D87" s="248" t="s">
        <v>582</v>
      </c>
      <c r="E87" s="248" t="s">
        <v>614</v>
      </c>
      <c r="F87" s="248" t="s">
        <v>519</v>
      </c>
      <c r="G87" s="248" t="s">
        <v>582</v>
      </c>
      <c r="H87" s="248" t="s">
        <v>614</v>
      </c>
      <c r="I87" s="248" t="s">
        <v>519</v>
      </c>
      <c r="J87" s="248" t="s">
        <v>582</v>
      </c>
      <c r="K87" s="248" t="s">
        <v>614</v>
      </c>
    </row>
    <row r="88" spans="1:13" ht="38.25" hidden="1" x14ac:dyDescent="0.2">
      <c r="A88" s="335"/>
      <c r="B88" s="335"/>
      <c r="C88" s="85" t="s">
        <v>79</v>
      </c>
      <c r="D88" s="85" t="s">
        <v>80</v>
      </c>
      <c r="E88" s="85" t="s">
        <v>81</v>
      </c>
      <c r="F88" s="85" t="s">
        <v>79</v>
      </c>
      <c r="G88" s="85" t="s">
        <v>80</v>
      </c>
      <c r="H88" s="85" t="s">
        <v>81</v>
      </c>
      <c r="I88" s="88" t="s">
        <v>79</v>
      </c>
      <c r="J88" s="88" t="s">
        <v>80</v>
      </c>
      <c r="K88" s="88" t="s">
        <v>81</v>
      </c>
    </row>
    <row r="89" spans="1:13" hidden="1" x14ac:dyDescent="0.2">
      <c r="A89" s="85">
        <v>1</v>
      </c>
      <c r="B89" s="85">
        <v>2</v>
      </c>
      <c r="C89" s="85">
        <v>3</v>
      </c>
      <c r="D89" s="85">
        <v>4</v>
      </c>
      <c r="E89" s="85">
        <v>5</v>
      </c>
      <c r="F89" s="85">
        <v>6</v>
      </c>
      <c r="G89" s="85">
        <v>7</v>
      </c>
      <c r="H89" s="85">
        <v>8</v>
      </c>
      <c r="I89" s="88">
        <v>9</v>
      </c>
      <c r="J89" s="88">
        <v>10</v>
      </c>
      <c r="K89" s="88">
        <v>11</v>
      </c>
    </row>
    <row r="90" spans="1:13" hidden="1" x14ac:dyDescent="0.2">
      <c r="A90" s="280"/>
      <c r="B90" s="85">
        <v>1</v>
      </c>
      <c r="C90" s="230">
        <v>17</v>
      </c>
      <c r="D90" s="86">
        <v>0</v>
      </c>
      <c r="E90" s="86">
        <v>0</v>
      </c>
      <c r="F90" s="89">
        <f t="shared" ref="F90:F94" si="1">I90/C90</f>
        <v>0</v>
      </c>
      <c r="G90" s="38">
        <v>0</v>
      </c>
      <c r="H90" s="38">
        <v>0</v>
      </c>
      <c r="I90" s="87"/>
      <c r="J90" s="84">
        <v>0</v>
      </c>
      <c r="K90" s="83">
        <v>0</v>
      </c>
    </row>
    <row r="91" spans="1:13" hidden="1" x14ac:dyDescent="0.2">
      <c r="A91" s="90" t="s">
        <v>492</v>
      </c>
      <c r="B91" s="85">
        <v>2</v>
      </c>
      <c r="C91" s="86">
        <v>3</v>
      </c>
      <c r="D91" s="86">
        <v>0</v>
      </c>
      <c r="E91" s="86">
        <v>0</v>
      </c>
      <c r="F91" s="89">
        <f t="shared" si="1"/>
        <v>0</v>
      </c>
      <c r="G91" s="38">
        <v>0</v>
      </c>
      <c r="H91" s="38">
        <v>0</v>
      </c>
      <c r="I91" s="87"/>
      <c r="J91" s="84">
        <v>0</v>
      </c>
      <c r="K91" s="83">
        <v>0</v>
      </c>
    </row>
    <row r="92" spans="1:13" hidden="1" x14ac:dyDescent="0.2">
      <c r="A92" s="90" t="s">
        <v>493</v>
      </c>
      <c r="B92" s="95">
        <v>3</v>
      </c>
      <c r="C92" s="96">
        <v>6</v>
      </c>
      <c r="D92" s="96">
        <v>0</v>
      </c>
      <c r="E92" s="96">
        <v>0</v>
      </c>
      <c r="F92" s="99">
        <f t="shared" si="1"/>
        <v>0</v>
      </c>
      <c r="G92" s="38">
        <v>0</v>
      </c>
      <c r="H92" s="38">
        <v>0</v>
      </c>
      <c r="I92" s="97"/>
      <c r="J92" s="84">
        <v>0</v>
      </c>
      <c r="K92" s="83">
        <v>0</v>
      </c>
    </row>
    <row r="93" spans="1:13" hidden="1" x14ac:dyDescent="0.2">
      <c r="A93" s="90" t="s">
        <v>494</v>
      </c>
      <c r="B93" s="95">
        <v>4</v>
      </c>
      <c r="C93" s="96">
        <v>2</v>
      </c>
      <c r="D93" s="96">
        <v>0</v>
      </c>
      <c r="E93" s="96">
        <v>0</v>
      </c>
      <c r="F93" s="99">
        <f t="shared" si="1"/>
        <v>0</v>
      </c>
      <c r="G93" s="38">
        <v>0</v>
      </c>
      <c r="H93" s="38">
        <v>0</v>
      </c>
      <c r="I93" s="97"/>
      <c r="J93" s="84">
        <v>0</v>
      </c>
      <c r="K93" s="83">
        <v>0</v>
      </c>
    </row>
    <row r="94" spans="1:13" hidden="1" x14ac:dyDescent="0.2">
      <c r="A94" s="90" t="s">
        <v>495</v>
      </c>
      <c r="B94" s="95">
        <v>5</v>
      </c>
      <c r="C94" s="96">
        <v>5</v>
      </c>
      <c r="D94" s="96">
        <v>0</v>
      </c>
      <c r="E94" s="96">
        <v>0</v>
      </c>
      <c r="F94" s="99">
        <f t="shared" si="1"/>
        <v>0</v>
      </c>
      <c r="G94" s="38">
        <v>0</v>
      </c>
      <c r="H94" s="38">
        <v>0</v>
      </c>
      <c r="I94" s="97"/>
      <c r="J94" s="84">
        <v>0</v>
      </c>
      <c r="K94" s="83">
        <v>0</v>
      </c>
    </row>
    <row r="95" spans="1:13" hidden="1" x14ac:dyDescent="0.2">
      <c r="A95" s="90" t="s">
        <v>547</v>
      </c>
      <c r="B95" s="125">
        <v>1</v>
      </c>
      <c r="C95" s="126">
        <v>2</v>
      </c>
      <c r="D95" s="126">
        <v>0</v>
      </c>
      <c r="E95" s="126">
        <v>0</v>
      </c>
      <c r="F95" s="128">
        <f>I95/C95</f>
        <v>0</v>
      </c>
      <c r="G95" s="38">
        <v>0</v>
      </c>
      <c r="H95" s="38">
        <v>0</v>
      </c>
      <c r="I95" s="127"/>
      <c r="J95" s="84">
        <v>0</v>
      </c>
      <c r="K95" s="83">
        <v>0</v>
      </c>
    </row>
    <row r="96" spans="1:13" hidden="1" x14ac:dyDescent="0.2">
      <c r="A96" s="90" t="s">
        <v>553</v>
      </c>
      <c r="B96" s="161">
        <v>2</v>
      </c>
      <c r="C96" s="162">
        <v>1</v>
      </c>
      <c r="D96" s="162">
        <v>0</v>
      </c>
      <c r="E96" s="162">
        <v>0</v>
      </c>
      <c r="F96" s="165">
        <v>40000</v>
      </c>
      <c r="G96" s="38">
        <v>0</v>
      </c>
      <c r="H96" s="38">
        <v>0</v>
      </c>
      <c r="I96" s="163"/>
      <c r="J96" s="84">
        <v>0</v>
      </c>
      <c r="K96" s="83">
        <v>0</v>
      </c>
    </row>
    <row r="97" spans="1:12" hidden="1" x14ac:dyDescent="0.2">
      <c r="A97" s="90" t="s">
        <v>561</v>
      </c>
      <c r="B97" s="170">
        <v>3</v>
      </c>
      <c r="C97" s="171">
        <v>2</v>
      </c>
      <c r="D97" s="171">
        <v>0</v>
      </c>
      <c r="E97" s="171">
        <v>0</v>
      </c>
      <c r="F97" s="173">
        <f>I97/C97</f>
        <v>0</v>
      </c>
      <c r="G97" s="38">
        <v>0</v>
      </c>
      <c r="H97" s="38">
        <v>0</v>
      </c>
      <c r="I97" s="172"/>
      <c r="J97" s="84">
        <v>0</v>
      </c>
      <c r="K97" s="83">
        <v>0</v>
      </c>
    </row>
    <row r="98" spans="1:12" hidden="1" x14ac:dyDescent="0.2">
      <c r="A98" s="90" t="s">
        <v>548</v>
      </c>
      <c r="B98" s="125">
        <v>4</v>
      </c>
      <c r="C98" s="126">
        <v>1</v>
      </c>
      <c r="D98" s="126">
        <v>0</v>
      </c>
      <c r="E98" s="126">
        <v>0</v>
      </c>
      <c r="F98" s="128">
        <v>7700</v>
      </c>
      <c r="G98" s="38">
        <v>0</v>
      </c>
      <c r="H98" s="38">
        <v>0</v>
      </c>
      <c r="I98" s="127"/>
      <c r="J98" s="84">
        <v>0</v>
      </c>
      <c r="K98" s="83">
        <v>0</v>
      </c>
    </row>
    <row r="99" spans="1:12" hidden="1" x14ac:dyDescent="0.2">
      <c r="A99" s="90" t="s">
        <v>531</v>
      </c>
      <c r="B99" s="125">
        <v>1</v>
      </c>
      <c r="C99" s="126">
        <v>26</v>
      </c>
      <c r="D99" s="126">
        <v>0</v>
      </c>
      <c r="E99" s="126">
        <v>0</v>
      </c>
      <c r="F99" s="128">
        <f>I99/C99</f>
        <v>0</v>
      </c>
      <c r="G99" s="38">
        <v>0</v>
      </c>
      <c r="H99" s="38">
        <v>0</v>
      </c>
      <c r="I99" s="127"/>
      <c r="J99" s="84">
        <v>0</v>
      </c>
      <c r="K99" s="83">
        <v>0</v>
      </c>
    </row>
    <row r="100" spans="1:12" hidden="1" x14ac:dyDescent="0.2">
      <c r="A100" s="86" t="s">
        <v>137</v>
      </c>
      <c r="B100" s="85">
        <v>9000</v>
      </c>
      <c r="C100" s="85" t="s">
        <v>12</v>
      </c>
      <c r="D100" s="85" t="s">
        <v>12</v>
      </c>
      <c r="E100" s="85" t="s">
        <v>12</v>
      </c>
      <c r="F100" s="7" t="s">
        <v>12</v>
      </c>
      <c r="G100" s="7" t="s">
        <v>12</v>
      </c>
      <c r="H100" s="7" t="s">
        <v>12</v>
      </c>
      <c r="I100" s="87">
        <f>SUM(I90:I90)+I91+I92+I93+I94+I95+I98+I99+I96+I97</f>
        <v>0</v>
      </c>
      <c r="J100" s="87">
        <f>SUM(J90:J90)</f>
        <v>0</v>
      </c>
      <c r="K100" s="87">
        <f>SUM(K90:K90)</f>
        <v>0</v>
      </c>
    </row>
    <row r="101" spans="1:12" hidden="1" x14ac:dyDescent="0.2">
      <c r="L101" s="47"/>
    </row>
    <row r="102" spans="1:12" hidden="1" x14ac:dyDescent="0.2">
      <c r="A102" s="3" t="s">
        <v>345</v>
      </c>
    </row>
    <row r="103" spans="1:12" hidden="1" x14ac:dyDescent="0.2">
      <c r="A103" s="335" t="s">
        <v>219</v>
      </c>
      <c r="B103" s="335" t="s">
        <v>1</v>
      </c>
      <c r="C103" s="335" t="s">
        <v>315</v>
      </c>
      <c r="D103" s="335"/>
      <c r="E103" s="335"/>
      <c r="F103" s="335" t="s">
        <v>316</v>
      </c>
      <c r="G103" s="335"/>
      <c r="H103" s="335"/>
      <c r="I103" s="335" t="s">
        <v>117</v>
      </c>
      <c r="J103" s="335"/>
      <c r="K103" s="335"/>
    </row>
    <row r="104" spans="1:12" hidden="1" x14ac:dyDescent="0.2">
      <c r="A104" s="335"/>
      <c r="B104" s="335"/>
      <c r="C104" s="248" t="s">
        <v>519</v>
      </c>
      <c r="D104" s="248" t="s">
        <v>582</v>
      </c>
      <c r="E104" s="248" t="s">
        <v>614</v>
      </c>
      <c r="F104" s="248" t="s">
        <v>519</v>
      </c>
      <c r="G104" s="248" t="s">
        <v>582</v>
      </c>
      <c r="H104" s="248" t="s">
        <v>614</v>
      </c>
      <c r="I104" s="248" t="s">
        <v>519</v>
      </c>
      <c r="J104" s="248" t="s">
        <v>582</v>
      </c>
      <c r="K104" s="248" t="s">
        <v>614</v>
      </c>
    </row>
    <row r="105" spans="1:12" ht="38.25" hidden="1" x14ac:dyDescent="0.2">
      <c r="A105" s="335"/>
      <c r="B105" s="335"/>
      <c r="C105" s="100" t="s">
        <v>79</v>
      </c>
      <c r="D105" s="100" t="s">
        <v>80</v>
      </c>
      <c r="E105" s="100" t="s">
        <v>81</v>
      </c>
      <c r="F105" s="100" t="s">
        <v>79</v>
      </c>
      <c r="G105" s="100" t="s">
        <v>80</v>
      </c>
      <c r="H105" s="100" t="s">
        <v>81</v>
      </c>
      <c r="I105" s="100" t="s">
        <v>79</v>
      </c>
      <c r="J105" s="100" t="s">
        <v>80</v>
      </c>
      <c r="K105" s="100" t="s">
        <v>81</v>
      </c>
    </row>
    <row r="106" spans="1:12" hidden="1" x14ac:dyDescent="0.2">
      <c r="A106" s="100">
        <v>1</v>
      </c>
      <c r="B106" s="100">
        <v>2</v>
      </c>
      <c r="C106" s="100">
        <v>3</v>
      </c>
      <c r="D106" s="100">
        <v>4</v>
      </c>
      <c r="E106" s="100">
        <v>5</v>
      </c>
      <c r="F106" s="100">
        <v>6</v>
      </c>
      <c r="G106" s="100">
        <v>7</v>
      </c>
      <c r="H106" s="100">
        <v>8</v>
      </c>
      <c r="I106" s="100">
        <v>9</v>
      </c>
      <c r="J106" s="100">
        <v>10</v>
      </c>
      <c r="K106" s="100">
        <v>11</v>
      </c>
    </row>
    <row r="107" spans="1:12" hidden="1" x14ac:dyDescent="0.2">
      <c r="A107" s="90" t="s">
        <v>346</v>
      </c>
      <c r="B107" s="100">
        <v>1</v>
      </c>
      <c r="C107" s="101">
        <v>2</v>
      </c>
      <c r="D107" s="101">
        <v>0</v>
      </c>
      <c r="E107" s="101">
        <v>0</v>
      </c>
      <c r="F107" s="103">
        <f>I107/C107</f>
        <v>0</v>
      </c>
      <c r="G107" s="103">
        <v>0</v>
      </c>
      <c r="H107" s="103">
        <v>0</v>
      </c>
      <c r="I107" s="103"/>
      <c r="J107" s="103">
        <v>0</v>
      </c>
      <c r="K107" s="103">
        <v>0</v>
      </c>
    </row>
    <row r="108" spans="1:12" hidden="1" x14ac:dyDescent="0.2">
      <c r="A108" s="90"/>
      <c r="B108" s="100">
        <v>2</v>
      </c>
      <c r="C108" s="101">
        <v>0</v>
      </c>
      <c r="D108" s="101">
        <v>0</v>
      </c>
      <c r="E108" s="101">
        <v>0</v>
      </c>
      <c r="F108" s="103">
        <v>0</v>
      </c>
      <c r="G108" s="103">
        <v>0</v>
      </c>
      <c r="H108" s="103">
        <v>0</v>
      </c>
      <c r="I108" s="103"/>
      <c r="J108" s="103">
        <v>0</v>
      </c>
      <c r="K108" s="103">
        <v>0</v>
      </c>
    </row>
    <row r="109" spans="1:12" hidden="1" x14ac:dyDescent="0.2">
      <c r="A109" s="90"/>
      <c r="B109" s="100">
        <v>3</v>
      </c>
      <c r="C109" s="101">
        <v>0</v>
      </c>
      <c r="D109" s="101">
        <v>0</v>
      </c>
      <c r="E109" s="101">
        <v>0</v>
      </c>
      <c r="F109" s="103">
        <v>0</v>
      </c>
      <c r="G109" s="103">
        <v>0</v>
      </c>
      <c r="H109" s="103">
        <v>0</v>
      </c>
      <c r="I109" s="103"/>
      <c r="J109" s="103">
        <v>0</v>
      </c>
      <c r="K109" s="103">
        <v>0</v>
      </c>
    </row>
    <row r="110" spans="1:12" hidden="1" x14ac:dyDescent="0.2">
      <c r="A110" s="101" t="s">
        <v>137</v>
      </c>
      <c r="B110" s="100">
        <v>9000</v>
      </c>
      <c r="C110" s="100" t="s">
        <v>12</v>
      </c>
      <c r="D110" s="100" t="s">
        <v>12</v>
      </c>
      <c r="E110" s="100" t="s">
        <v>12</v>
      </c>
      <c r="F110" s="100" t="s">
        <v>12</v>
      </c>
      <c r="G110" s="100" t="s">
        <v>12</v>
      </c>
      <c r="H110" s="100" t="s">
        <v>12</v>
      </c>
      <c r="I110" s="102">
        <f>SUM(I107:I109)</f>
        <v>0</v>
      </c>
      <c r="J110" s="102">
        <f>SUM(J107:J109)</f>
        <v>0</v>
      </c>
      <c r="K110" s="102">
        <f>SUM(K107:K109)</f>
        <v>0</v>
      </c>
    </row>
    <row r="111" spans="1:12" hidden="1" x14ac:dyDescent="0.2"/>
    <row r="112" spans="1:12" x14ac:dyDescent="0.2">
      <c r="A112" s="3" t="s">
        <v>591</v>
      </c>
    </row>
    <row r="113" spans="1:11" ht="12.75" customHeight="1" x14ac:dyDescent="0.2">
      <c r="A113" s="354" t="s">
        <v>219</v>
      </c>
      <c r="B113" s="354" t="s">
        <v>1</v>
      </c>
      <c r="C113" s="367" t="s">
        <v>315</v>
      </c>
      <c r="D113" s="368"/>
      <c r="E113" s="369"/>
      <c r="F113" s="367" t="s">
        <v>316</v>
      </c>
      <c r="G113" s="368"/>
      <c r="H113" s="369"/>
      <c r="I113" s="367" t="s">
        <v>117</v>
      </c>
      <c r="J113" s="368"/>
      <c r="K113" s="369"/>
    </row>
    <row r="114" spans="1:11" x14ac:dyDescent="0.2">
      <c r="A114" s="355"/>
      <c r="B114" s="355"/>
      <c r="C114" s="290" t="s">
        <v>582</v>
      </c>
      <c r="D114" s="290" t="s">
        <v>614</v>
      </c>
      <c r="E114" s="290" t="s">
        <v>694</v>
      </c>
      <c r="F114" s="290" t="s">
        <v>582</v>
      </c>
      <c r="G114" s="290" t="s">
        <v>614</v>
      </c>
      <c r="H114" s="290" t="s">
        <v>694</v>
      </c>
      <c r="I114" s="290" t="s">
        <v>582</v>
      </c>
      <c r="J114" s="290" t="s">
        <v>614</v>
      </c>
      <c r="K114" s="290" t="s">
        <v>694</v>
      </c>
    </row>
    <row r="115" spans="1:11" ht="38.25" x14ac:dyDescent="0.2">
      <c r="A115" s="356"/>
      <c r="B115" s="356"/>
      <c r="C115" s="197" t="s">
        <v>79</v>
      </c>
      <c r="D115" s="197" t="s">
        <v>80</v>
      </c>
      <c r="E115" s="197" t="s">
        <v>81</v>
      </c>
      <c r="F115" s="197" t="s">
        <v>79</v>
      </c>
      <c r="G115" s="197" t="s">
        <v>80</v>
      </c>
      <c r="H115" s="197" t="s">
        <v>81</v>
      </c>
      <c r="I115" s="197" t="s">
        <v>79</v>
      </c>
      <c r="J115" s="197" t="s">
        <v>80</v>
      </c>
      <c r="K115" s="197" t="s">
        <v>81</v>
      </c>
    </row>
    <row r="116" spans="1:11" x14ac:dyDescent="0.2">
      <c r="A116" s="197">
        <v>1</v>
      </c>
      <c r="B116" s="197">
        <v>2</v>
      </c>
      <c r="C116" s="197">
        <v>3</v>
      </c>
      <c r="D116" s="197">
        <v>4</v>
      </c>
      <c r="E116" s="197">
        <v>5</v>
      </c>
      <c r="F116" s="197">
        <v>6</v>
      </c>
      <c r="G116" s="197">
        <v>7</v>
      </c>
      <c r="H116" s="197">
        <v>8</v>
      </c>
      <c r="I116" s="197">
        <v>9</v>
      </c>
      <c r="J116" s="197">
        <v>10</v>
      </c>
      <c r="K116" s="197">
        <v>11</v>
      </c>
    </row>
    <row r="117" spans="1:11" ht="38.25" hidden="1" x14ac:dyDescent="0.2">
      <c r="A117" s="198" t="s">
        <v>458</v>
      </c>
      <c r="B117" s="197">
        <v>1</v>
      </c>
      <c r="C117" s="198">
        <v>6</v>
      </c>
      <c r="D117" s="198">
        <v>0</v>
      </c>
      <c r="E117" s="198">
        <v>0</v>
      </c>
      <c r="F117" s="200">
        <v>367.03</v>
      </c>
      <c r="G117" s="200">
        <v>0</v>
      </c>
      <c r="H117" s="200">
        <v>0</v>
      </c>
      <c r="I117" s="200"/>
      <c r="J117" s="200">
        <v>0</v>
      </c>
      <c r="K117" s="200">
        <v>0</v>
      </c>
    </row>
    <row r="118" spans="1:11" hidden="1" x14ac:dyDescent="0.2">
      <c r="A118" s="198" t="s">
        <v>342</v>
      </c>
      <c r="B118" s="197">
        <v>2</v>
      </c>
      <c r="C118" s="198">
        <v>762</v>
      </c>
      <c r="D118" s="198"/>
      <c r="E118" s="198"/>
      <c r="F118" s="200"/>
      <c r="G118" s="200"/>
      <c r="H118" s="200"/>
      <c r="I118" s="200"/>
      <c r="J118" s="200"/>
      <c r="K118" s="200"/>
    </row>
    <row r="119" spans="1:11" ht="25.5" hidden="1" x14ac:dyDescent="0.2">
      <c r="A119" s="198" t="s">
        <v>457</v>
      </c>
      <c r="B119" s="197">
        <v>2</v>
      </c>
      <c r="C119" s="198">
        <v>15</v>
      </c>
      <c r="D119" s="198">
        <v>0</v>
      </c>
      <c r="E119" s="198">
        <v>0</v>
      </c>
      <c r="F119" s="200">
        <v>833</v>
      </c>
      <c r="G119" s="200">
        <v>0</v>
      </c>
      <c r="H119" s="200">
        <v>0</v>
      </c>
      <c r="I119" s="200"/>
      <c r="J119" s="200">
        <v>0</v>
      </c>
      <c r="K119" s="200">
        <v>0</v>
      </c>
    </row>
    <row r="120" spans="1:11" hidden="1" x14ac:dyDescent="0.2">
      <c r="A120" s="198" t="s">
        <v>342</v>
      </c>
      <c r="B120" s="197">
        <v>2</v>
      </c>
      <c r="C120" s="198">
        <v>762</v>
      </c>
      <c r="D120" s="198"/>
      <c r="E120" s="198"/>
      <c r="F120" s="200"/>
      <c r="G120" s="200"/>
      <c r="H120" s="200"/>
      <c r="I120" s="200"/>
      <c r="J120" s="200"/>
      <c r="K120" s="200"/>
    </row>
    <row r="121" spans="1:11" x14ac:dyDescent="0.2">
      <c r="A121" s="90" t="s">
        <v>531</v>
      </c>
      <c r="B121" s="197">
        <v>1</v>
      </c>
      <c r="C121" s="198">
        <v>20</v>
      </c>
      <c r="D121" s="198">
        <v>0</v>
      </c>
      <c r="E121" s="198">
        <v>0</v>
      </c>
      <c r="F121" s="200">
        <f>I121/C121</f>
        <v>13371.325000000001</v>
      </c>
      <c r="G121" s="200">
        <v>0</v>
      </c>
      <c r="H121" s="200">
        <v>0</v>
      </c>
      <c r="I121" s="200">
        <v>267426.5</v>
      </c>
      <c r="J121" s="200">
        <v>0</v>
      </c>
      <c r="K121" s="200">
        <v>0</v>
      </c>
    </row>
    <row r="122" spans="1:11" x14ac:dyDescent="0.2">
      <c r="A122" s="198" t="s">
        <v>137</v>
      </c>
      <c r="B122" s="197">
        <v>9000</v>
      </c>
      <c r="C122" s="197" t="s">
        <v>12</v>
      </c>
      <c r="D122" s="197"/>
      <c r="E122" s="197" t="s">
        <v>12</v>
      </c>
      <c r="F122" s="197" t="s">
        <v>12</v>
      </c>
      <c r="G122" s="197" t="s">
        <v>12</v>
      </c>
      <c r="H122" s="197" t="s">
        <v>12</v>
      </c>
      <c r="I122" s="200">
        <f>I121</f>
        <v>267426.5</v>
      </c>
      <c r="J122" s="200">
        <f>SUM(J119:J121)</f>
        <v>0</v>
      </c>
      <c r="K122" s="200">
        <f>SUM(K119:K121)</f>
        <v>0</v>
      </c>
    </row>
  </sheetData>
  <mergeCells count="60">
    <mergeCell ref="A103:A105"/>
    <mergeCell ref="B103:B105"/>
    <mergeCell ref="C103:E103"/>
    <mergeCell ref="F103:H103"/>
    <mergeCell ref="I103:K103"/>
    <mergeCell ref="I68:K68"/>
    <mergeCell ref="I77:K77"/>
    <mergeCell ref="A77:A79"/>
    <mergeCell ref="B77:B79"/>
    <mergeCell ref="C77:E77"/>
    <mergeCell ref="F77:H77"/>
    <mergeCell ref="A68:A70"/>
    <mergeCell ref="B68:B70"/>
    <mergeCell ref="C68:E68"/>
    <mergeCell ref="F68:H68"/>
    <mergeCell ref="I59:K59"/>
    <mergeCell ref="A59:A61"/>
    <mergeCell ref="B59:B61"/>
    <mergeCell ref="C59:E59"/>
    <mergeCell ref="F59:H59"/>
    <mergeCell ref="I51:K51"/>
    <mergeCell ref="A51:A53"/>
    <mergeCell ref="B51:B53"/>
    <mergeCell ref="C51:E51"/>
    <mergeCell ref="F51:H51"/>
    <mergeCell ref="A43:A45"/>
    <mergeCell ref="B43:B45"/>
    <mergeCell ref="C43:E43"/>
    <mergeCell ref="F43:H43"/>
    <mergeCell ref="A34:A36"/>
    <mergeCell ref="B34:B36"/>
    <mergeCell ref="A17:A19"/>
    <mergeCell ref="B17:B19"/>
    <mergeCell ref="C34:E34"/>
    <mergeCell ref="A26:A28"/>
    <mergeCell ref="B26:B28"/>
    <mergeCell ref="C26:E26"/>
    <mergeCell ref="C17:E17"/>
    <mergeCell ref="I43:K43"/>
    <mergeCell ref="I34:K34"/>
    <mergeCell ref="I26:K26"/>
    <mergeCell ref="I17:K17"/>
    <mergeCell ref="F17:H17"/>
    <mergeCell ref="F34:H34"/>
    <mergeCell ref="F26:H26"/>
    <mergeCell ref="A4:A6"/>
    <mergeCell ref="B4:B6"/>
    <mergeCell ref="C4:E4"/>
    <mergeCell ref="F4:H4"/>
    <mergeCell ref="I4:K4"/>
    <mergeCell ref="A86:A88"/>
    <mergeCell ref="B86:B88"/>
    <mergeCell ref="C86:E86"/>
    <mergeCell ref="F86:H86"/>
    <mergeCell ref="I86:K86"/>
    <mergeCell ref="A113:A115"/>
    <mergeCell ref="B113:B115"/>
    <mergeCell ref="C113:E113"/>
    <mergeCell ref="F113:H113"/>
    <mergeCell ref="I113:K113"/>
  </mergeCells>
  <phoneticPr fontId="12" type="noConversion"/>
  <pageMargins left="0.7" right="0.7" top="0.75" bottom="0.75" header="0.3" footer="0.3"/>
  <pageSetup paperSize="9" scale="77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topLeftCell="A50" zoomScaleNormal="100" workbookViewId="0">
      <selection activeCell="H168" sqref="H168"/>
    </sheetView>
  </sheetViews>
  <sheetFormatPr defaultRowHeight="12.75" x14ac:dyDescent="0.2"/>
  <cols>
    <col min="1" max="1" width="19.5703125" style="3" customWidth="1"/>
    <col min="2" max="2" width="9.140625" style="3"/>
    <col min="3" max="11" width="14.5703125" style="3" customWidth="1"/>
    <col min="12" max="16384" width="9.140625" style="3"/>
  </cols>
  <sheetData>
    <row r="1" spans="1:12" x14ac:dyDescent="0.2">
      <c r="A1" s="3" t="s">
        <v>317</v>
      </c>
    </row>
    <row r="3" spans="1:12" x14ac:dyDescent="0.2">
      <c r="A3" s="3" t="s">
        <v>440</v>
      </c>
    </row>
    <row r="4" spans="1:12" x14ac:dyDescent="0.2">
      <c r="A4" s="335" t="s">
        <v>219</v>
      </c>
      <c r="B4" s="335" t="s">
        <v>1</v>
      </c>
      <c r="C4" s="335" t="s">
        <v>315</v>
      </c>
      <c r="D4" s="335"/>
      <c r="E4" s="335"/>
      <c r="F4" s="335" t="s">
        <v>316</v>
      </c>
      <c r="G4" s="335"/>
      <c r="H4" s="335"/>
      <c r="I4" s="335" t="s">
        <v>117</v>
      </c>
      <c r="J4" s="335"/>
      <c r="K4" s="335"/>
    </row>
    <row r="5" spans="1:12" x14ac:dyDescent="0.2">
      <c r="A5" s="335"/>
      <c r="B5" s="335"/>
      <c r="C5" s="290" t="s">
        <v>582</v>
      </c>
      <c r="D5" s="290" t="s">
        <v>614</v>
      </c>
      <c r="E5" s="290" t="s">
        <v>694</v>
      </c>
      <c r="F5" s="290" t="s">
        <v>582</v>
      </c>
      <c r="G5" s="290" t="s">
        <v>614</v>
      </c>
      <c r="H5" s="290" t="s">
        <v>694</v>
      </c>
      <c r="I5" s="290" t="s">
        <v>582</v>
      </c>
      <c r="J5" s="290" t="s">
        <v>614</v>
      </c>
      <c r="K5" s="290" t="s">
        <v>694</v>
      </c>
    </row>
    <row r="6" spans="1:12" ht="38.25" x14ac:dyDescent="0.2">
      <c r="A6" s="335"/>
      <c r="B6" s="335"/>
      <c r="C6" s="2" t="s">
        <v>79</v>
      </c>
      <c r="D6" s="2" t="s">
        <v>80</v>
      </c>
      <c r="E6" s="2" t="s">
        <v>81</v>
      </c>
      <c r="F6" s="2" t="s">
        <v>79</v>
      </c>
      <c r="G6" s="2" t="s">
        <v>80</v>
      </c>
      <c r="H6" s="2" t="s">
        <v>81</v>
      </c>
      <c r="I6" s="2" t="s">
        <v>79</v>
      </c>
      <c r="J6" s="2" t="s">
        <v>80</v>
      </c>
      <c r="K6" s="2" t="s">
        <v>81</v>
      </c>
    </row>
    <row r="7" spans="1:12" x14ac:dyDescent="0.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</row>
    <row r="8" spans="1:12" x14ac:dyDescent="0.2">
      <c r="A8" s="6" t="s">
        <v>328</v>
      </c>
      <c r="B8" s="2">
        <v>1</v>
      </c>
      <c r="C8" s="6">
        <v>62</v>
      </c>
      <c r="D8" s="6">
        <v>36</v>
      </c>
      <c r="E8" s="6">
        <v>36</v>
      </c>
      <c r="F8" s="5">
        <f t="shared" ref="F8:H9" si="0">I8/C8</f>
        <v>1812.4038709677418</v>
      </c>
      <c r="G8" s="5">
        <f t="shared" si="0"/>
        <v>3121.362222222222</v>
      </c>
      <c r="H8" s="5">
        <f t="shared" si="0"/>
        <v>3121.362222222222</v>
      </c>
      <c r="I8" s="5">
        <v>112369.04</v>
      </c>
      <c r="J8" s="5">
        <v>112369.04</v>
      </c>
      <c r="K8" s="5">
        <v>112369.04</v>
      </c>
    </row>
    <row r="9" spans="1:12" x14ac:dyDescent="0.2">
      <c r="A9" s="6" t="s">
        <v>329</v>
      </c>
      <c r="B9" s="2">
        <v>2</v>
      </c>
      <c r="C9" s="6">
        <v>24</v>
      </c>
      <c r="D9" s="6">
        <v>32</v>
      </c>
      <c r="E9" s="6">
        <v>32</v>
      </c>
      <c r="F9" s="5">
        <f t="shared" si="0"/>
        <v>2475.8333333333335</v>
      </c>
      <c r="G9" s="5">
        <f t="shared" si="0"/>
        <v>1856.875</v>
      </c>
      <c r="H9" s="5">
        <f t="shared" si="0"/>
        <v>1856.875</v>
      </c>
      <c r="I9" s="5">
        <v>59420</v>
      </c>
      <c r="J9" s="5">
        <v>59420</v>
      </c>
      <c r="K9" s="5">
        <v>59420</v>
      </c>
    </row>
    <row r="10" spans="1:12" ht="51" x14ac:dyDescent="0.2">
      <c r="A10" s="6" t="s">
        <v>391</v>
      </c>
      <c r="B10" s="2">
        <v>3</v>
      </c>
      <c r="C10" s="6">
        <v>97</v>
      </c>
      <c r="D10" s="6">
        <v>212</v>
      </c>
      <c r="E10" s="6">
        <v>212</v>
      </c>
      <c r="F10" s="5">
        <f>I10/C10</f>
        <v>412.37113402061857</v>
      </c>
      <c r="G10" s="5">
        <v>188</v>
      </c>
      <c r="H10" s="5">
        <v>188</v>
      </c>
      <c r="I10" s="5">
        <v>40000</v>
      </c>
      <c r="J10" s="5">
        <v>40000</v>
      </c>
      <c r="K10" s="5">
        <v>40000</v>
      </c>
    </row>
    <row r="11" spans="1:12" ht="25.5" hidden="1" x14ac:dyDescent="0.2">
      <c r="A11" s="90" t="s">
        <v>518</v>
      </c>
      <c r="B11" s="125">
        <v>4</v>
      </c>
      <c r="C11" s="126">
        <v>25</v>
      </c>
      <c r="D11" s="126">
        <v>0</v>
      </c>
      <c r="E11" s="126">
        <v>0</v>
      </c>
      <c r="F11" s="128">
        <f>I11/C11</f>
        <v>0</v>
      </c>
      <c r="G11" s="128">
        <v>0</v>
      </c>
      <c r="H11" s="128">
        <v>0</v>
      </c>
      <c r="I11" s="128"/>
      <c r="J11" s="128">
        <v>0</v>
      </c>
      <c r="K11" s="128">
        <v>0</v>
      </c>
    </row>
    <row r="12" spans="1:12" x14ac:dyDescent="0.2">
      <c r="A12" s="6" t="s">
        <v>137</v>
      </c>
      <c r="B12" s="2">
        <v>9000</v>
      </c>
      <c r="C12" s="2" t="s">
        <v>12</v>
      </c>
      <c r="D12" s="2" t="s">
        <v>12</v>
      </c>
      <c r="E12" s="2" t="s">
        <v>12</v>
      </c>
      <c r="F12" s="2" t="s">
        <v>12</v>
      </c>
      <c r="G12" s="2" t="s">
        <v>12</v>
      </c>
      <c r="H12" s="2" t="s">
        <v>12</v>
      </c>
      <c r="I12" s="5">
        <f>SUM(I8:I10)+I11</f>
        <v>211789.03999999998</v>
      </c>
      <c r="J12" s="5">
        <f>SUM(J8:J10)</f>
        <v>211789.03999999998</v>
      </c>
      <c r="K12" s="5">
        <f>SUM(K8:K10)</f>
        <v>211789.03999999998</v>
      </c>
    </row>
    <row r="13" spans="1:12" x14ac:dyDescent="0.2">
      <c r="L13" s="124" t="s">
        <v>592</v>
      </c>
    </row>
    <row r="14" spans="1:12" hidden="1" x14ac:dyDescent="0.2">
      <c r="A14" s="3" t="s">
        <v>330</v>
      </c>
    </row>
    <row r="15" spans="1:12" hidden="1" x14ac:dyDescent="0.2">
      <c r="A15" s="335" t="s">
        <v>219</v>
      </c>
      <c r="B15" s="335" t="s">
        <v>1</v>
      </c>
      <c r="C15" s="335" t="s">
        <v>315</v>
      </c>
      <c r="D15" s="335"/>
      <c r="E15" s="335"/>
      <c r="F15" s="335" t="s">
        <v>316</v>
      </c>
      <c r="G15" s="335"/>
      <c r="H15" s="335"/>
      <c r="I15" s="335" t="s">
        <v>117</v>
      </c>
      <c r="J15" s="335"/>
      <c r="K15" s="335"/>
    </row>
    <row r="16" spans="1:12" hidden="1" x14ac:dyDescent="0.2">
      <c r="A16" s="335"/>
      <c r="B16" s="335"/>
      <c r="C16" s="2" t="s">
        <v>4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</row>
    <row r="17" spans="1:11" ht="38.25" hidden="1" x14ac:dyDescent="0.2">
      <c r="A17" s="335"/>
      <c r="B17" s="335"/>
      <c r="C17" s="2" t="s">
        <v>79</v>
      </c>
      <c r="D17" s="2" t="s">
        <v>80</v>
      </c>
      <c r="E17" s="2" t="s">
        <v>81</v>
      </c>
      <c r="F17" s="2" t="s">
        <v>79</v>
      </c>
      <c r="G17" s="2" t="s">
        <v>80</v>
      </c>
      <c r="H17" s="2" t="s">
        <v>81</v>
      </c>
      <c r="I17" s="2" t="s">
        <v>79</v>
      </c>
      <c r="J17" s="2" t="s">
        <v>80</v>
      </c>
      <c r="K17" s="2" t="s">
        <v>81</v>
      </c>
    </row>
    <row r="18" spans="1:11" hidden="1" x14ac:dyDescent="0.2">
      <c r="A18" s="2">
        <v>1</v>
      </c>
      <c r="B18" s="2">
        <v>2</v>
      </c>
      <c r="C18" s="2">
        <v>3</v>
      </c>
      <c r="D18" s="2">
        <v>4</v>
      </c>
      <c r="E18" s="2">
        <v>5</v>
      </c>
      <c r="F18" s="2">
        <v>6</v>
      </c>
      <c r="G18" s="2">
        <v>7</v>
      </c>
      <c r="H18" s="2">
        <v>8</v>
      </c>
      <c r="I18" s="2">
        <v>9</v>
      </c>
      <c r="J18" s="2">
        <v>10</v>
      </c>
      <c r="K18" s="2">
        <v>11</v>
      </c>
    </row>
    <row r="19" spans="1:11" hidden="1" x14ac:dyDescent="0.2">
      <c r="A19" s="6" t="s">
        <v>329</v>
      </c>
      <c r="B19" s="2">
        <v>2</v>
      </c>
      <c r="C19" s="6">
        <v>1000</v>
      </c>
      <c r="D19" s="6"/>
      <c r="E19" s="6"/>
      <c r="F19" s="5"/>
      <c r="G19" s="5"/>
      <c r="H19" s="5"/>
      <c r="I19" s="5">
        <f>C19*F19</f>
        <v>0</v>
      </c>
      <c r="J19" s="5"/>
      <c r="K19" s="5"/>
    </row>
    <row r="20" spans="1:11" hidden="1" x14ac:dyDescent="0.2">
      <c r="A20" s="6" t="s">
        <v>331</v>
      </c>
      <c r="B20" s="2">
        <v>3</v>
      </c>
      <c r="C20" s="6">
        <v>17565</v>
      </c>
      <c r="D20" s="6"/>
      <c r="E20" s="6"/>
      <c r="F20" s="5"/>
      <c r="G20" s="5"/>
      <c r="H20" s="5"/>
      <c r="I20" s="5">
        <f>C20*F20</f>
        <v>0</v>
      </c>
      <c r="J20" s="5"/>
      <c r="K20" s="5"/>
    </row>
    <row r="21" spans="1:11" hidden="1" x14ac:dyDescent="0.2">
      <c r="A21" s="6" t="s">
        <v>137</v>
      </c>
      <c r="B21" s="2">
        <v>9000</v>
      </c>
      <c r="C21" s="2" t="s">
        <v>12</v>
      </c>
      <c r="D21" s="2" t="s">
        <v>12</v>
      </c>
      <c r="E21" s="2" t="s">
        <v>12</v>
      </c>
      <c r="F21" s="2" t="s">
        <v>12</v>
      </c>
      <c r="G21" s="2" t="s">
        <v>12</v>
      </c>
      <c r="H21" s="2" t="s">
        <v>12</v>
      </c>
      <c r="I21" s="5">
        <f>SUM(I19:I20)</f>
        <v>0</v>
      </c>
      <c r="J21" s="5">
        <f>SUM(J19:J20)</f>
        <v>0</v>
      </c>
      <c r="K21" s="5">
        <f>SUM(K19:K20)</f>
        <v>0</v>
      </c>
    </row>
    <row r="23" spans="1:11" x14ac:dyDescent="0.2">
      <c r="A23" s="3" t="s">
        <v>442</v>
      </c>
    </row>
    <row r="24" spans="1:11" x14ac:dyDescent="0.2">
      <c r="A24" s="335" t="s">
        <v>219</v>
      </c>
      <c r="B24" s="335" t="s">
        <v>1</v>
      </c>
      <c r="C24" s="335" t="s">
        <v>315</v>
      </c>
      <c r="D24" s="335"/>
      <c r="E24" s="335"/>
      <c r="F24" s="335" t="s">
        <v>316</v>
      </c>
      <c r="G24" s="335"/>
      <c r="H24" s="335"/>
      <c r="I24" s="335" t="s">
        <v>117</v>
      </c>
      <c r="J24" s="335"/>
      <c r="K24" s="335"/>
    </row>
    <row r="25" spans="1:11" x14ac:dyDescent="0.2">
      <c r="A25" s="335"/>
      <c r="B25" s="335"/>
      <c r="C25" s="248" t="s">
        <v>582</v>
      </c>
      <c r="D25" s="248" t="s">
        <v>614</v>
      </c>
      <c r="E25" s="248" t="s">
        <v>694</v>
      </c>
      <c r="F25" s="248" t="s">
        <v>582</v>
      </c>
      <c r="G25" s="248" t="s">
        <v>614</v>
      </c>
      <c r="H25" s="248" t="s">
        <v>694</v>
      </c>
      <c r="I25" s="248" t="s">
        <v>582</v>
      </c>
      <c r="J25" s="248" t="s">
        <v>614</v>
      </c>
      <c r="K25" s="248" t="s">
        <v>694</v>
      </c>
    </row>
    <row r="26" spans="1:11" ht="38.25" x14ac:dyDescent="0.2">
      <c r="A26" s="335"/>
      <c r="B26" s="335"/>
      <c r="C26" s="2" t="s">
        <v>79</v>
      </c>
      <c r="D26" s="2" t="s">
        <v>80</v>
      </c>
      <c r="E26" s="2" t="s">
        <v>81</v>
      </c>
      <c r="F26" s="2" t="s">
        <v>79</v>
      </c>
      <c r="G26" s="2" t="s">
        <v>80</v>
      </c>
      <c r="H26" s="2" t="s">
        <v>81</v>
      </c>
      <c r="I26" s="2" t="s">
        <v>79</v>
      </c>
      <c r="J26" s="2" t="s">
        <v>80</v>
      </c>
      <c r="K26" s="2" t="s">
        <v>81</v>
      </c>
    </row>
    <row r="27" spans="1:11" x14ac:dyDescent="0.2">
      <c r="A27" s="2">
        <v>1</v>
      </c>
      <c r="B27" s="2">
        <v>2</v>
      </c>
      <c r="C27" s="2">
        <v>3</v>
      </c>
      <c r="D27" s="2">
        <v>4</v>
      </c>
      <c r="E27" s="2">
        <v>5</v>
      </c>
      <c r="F27" s="2">
        <v>6</v>
      </c>
      <c r="G27" s="2">
        <v>7</v>
      </c>
      <c r="H27" s="2">
        <v>8</v>
      </c>
      <c r="I27" s="2">
        <v>9</v>
      </c>
      <c r="J27" s="2">
        <v>10</v>
      </c>
      <c r="K27" s="2">
        <v>11</v>
      </c>
    </row>
    <row r="28" spans="1:11" x14ac:dyDescent="0.2">
      <c r="A28" s="6" t="s">
        <v>334</v>
      </c>
      <c r="B28" s="2">
        <v>1</v>
      </c>
      <c r="C28" s="6">
        <v>53</v>
      </c>
      <c r="D28" s="135">
        <v>53</v>
      </c>
      <c r="E28" s="135">
        <v>53</v>
      </c>
      <c r="F28" s="5">
        <f>I28/C28</f>
        <v>597.60377358490564</v>
      </c>
      <c r="G28" s="137">
        <f>J28/D28</f>
        <v>597.60377358490564</v>
      </c>
      <c r="H28" s="137">
        <f>K28/E28</f>
        <v>597.60377358490564</v>
      </c>
      <c r="I28" s="5">
        <v>31673</v>
      </c>
      <c r="J28" s="5">
        <v>31673</v>
      </c>
      <c r="K28" s="5">
        <v>31673</v>
      </c>
    </row>
    <row r="29" spans="1:11" ht="38.25" x14ac:dyDescent="0.2">
      <c r="A29" s="6" t="s">
        <v>392</v>
      </c>
      <c r="B29" s="2">
        <v>2</v>
      </c>
      <c r="C29" s="6">
        <v>20</v>
      </c>
      <c r="D29" s="135">
        <v>20</v>
      </c>
      <c r="E29" s="135">
        <v>20</v>
      </c>
      <c r="F29" s="137">
        <f t="shared" ref="F29:F30" si="1">I29/C29</f>
        <v>400</v>
      </c>
      <c r="G29" s="137">
        <f t="shared" ref="G29:H30" si="2">J29/D29</f>
        <v>400</v>
      </c>
      <c r="H29" s="137">
        <f t="shared" si="2"/>
        <v>400</v>
      </c>
      <c r="I29" s="5">
        <v>8000</v>
      </c>
      <c r="J29" s="5">
        <v>8000</v>
      </c>
      <c r="K29" s="5">
        <v>8000</v>
      </c>
    </row>
    <row r="30" spans="1:11" ht="25.5" x14ac:dyDescent="0.2">
      <c r="A30" s="6" t="s">
        <v>393</v>
      </c>
      <c r="B30" s="2">
        <v>3</v>
      </c>
      <c r="C30" s="6">
        <v>8</v>
      </c>
      <c r="D30" s="135">
        <v>8</v>
      </c>
      <c r="E30" s="135">
        <v>8</v>
      </c>
      <c r="F30" s="137">
        <f t="shared" si="1"/>
        <v>1250</v>
      </c>
      <c r="G30" s="137">
        <f t="shared" si="2"/>
        <v>1250</v>
      </c>
      <c r="H30" s="137">
        <f t="shared" si="2"/>
        <v>1250</v>
      </c>
      <c r="I30" s="5">
        <v>10000</v>
      </c>
      <c r="J30" s="5">
        <v>10000</v>
      </c>
      <c r="K30" s="5">
        <v>10000</v>
      </c>
    </row>
    <row r="31" spans="1:11" hidden="1" x14ac:dyDescent="0.2">
      <c r="A31" s="6" t="s">
        <v>336</v>
      </c>
      <c r="B31" s="2">
        <v>2</v>
      </c>
      <c r="C31" s="6">
        <v>200</v>
      </c>
      <c r="D31" s="6"/>
      <c r="E31" s="6"/>
      <c r="F31" s="5"/>
      <c r="G31" s="5"/>
      <c r="H31" s="5"/>
      <c r="I31" s="5">
        <f>C31*F31</f>
        <v>0</v>
      </c>
      <c r="J31" s="5"/>
      <c r="K31" s="5"/>
    </row>
    <row r="32" spans="1:11" x14ac:dyDescent="0.2">
      <c r="A32" s="6" t="s">
        <v>137</v>
      </c>
      <c r="B32" s="2">
        <v>9000</v>
      </c>
      <c r="C32" s="2" t="s">
        <v>12</v>
      </c>
      <c r="D32" s="2" t="s">
        <v>12</v>
      </c>
      <c r="E32" s="2" t="s">
        <v>12</v>
      </c>
      <c r="F32" s="2" t="s">
        <v>12</v>
      </c>
      <c r="G32" s="2" t="s">
        <v>12</v>
      </c>
      <c r="H32" s="2" t="s">
        <v>12</v>
      </c>
      <c r="I32" s="5">
        <f>SUM(I28:I31)</f>
        <v>49673</v>
      </c>
      <c r="J32" s="5">
        <f>SUM(J28:J31)</f>
        <v>49673</v>
      </c>
      <c r="K32" s="5">
        <f>SUM(K28:K31)</f>
        <v>49673</v>
      </c>
    </row>
    <row r="35" spans="1:11" x14ac:dyDescent="0.2">
      <c r="A35" s="3" t="s">
        <v>441</v>
      </c>
    </row>
    <row r="36" spans="1:11" x14ac:dyDescent="0.2">
      <c r="A36" s="335" t="s">
        <v>219</v>
      </c>
      <c r="B36" s="335" t="s">
        <v>1</v>
      </c>
      <c r="C36" s="335" t="s">
        <v>315</v>
      </c>
      <c r="D36" s="335"/>
      <c r="E36" s="335"/>
      <c r="F36" s="335" t="s">
        <v>316</v>
      </c>
      <c r="G36" s="335"/>
      <c r="H36" s="335"/>
      <c r="I36" s="335" t="s">
        <v>117</v>
      </c>
      <c r="J36" s="335"/>
      <c r="K36" s="335"/>
    </row>
    <row r="37" spans="1:11" x14ac:dyDescent="0.2">
      <c r="A37" s="335"/>
      <c r="B37" s="335"/>
      <c r="C37" s="290" t="s">
        <v>582</v>
      </c>
      <c r="D37" s="290" t="s">
        <v>614</v>
      </c>
      <c r="E37" s="290" t="s">
        <v>694</v>
      </c>
      <c r="F37" s="290" t="s">
        <v>582</v>
      </c>
      <c r="G37" s="290" t="s">
        <v>614</v>
      </c>
      <c r="H37" s="290" t="s">
        <v>694</v>
      </c>
      <c r="I37" s="290" t="s">
        <v>582</v>
      </c>
      <c r="J37" s="290" t="s">
        <v>614</v>
      </c>
      <c r="K37" s="290" t="s">
        <v>694</v>
      </c>
    </row>
    <row r="38" spans="1:11" ht="38.25" x14ac:dyDescent="0.2">
      <c r="A38" s="335"/>
      <c r="B38" s="335"/>
      <c r="C38" s="2" t="s">
        <v>79</v>
      </c>
      <c r="D38" s="2" t="s">
        <v>80</v>
      </c>
      <c r="E38" s="2" t="s">
        <v>81</v>
      </c>
      <c r="F38" s="2" t="s">
        <v>79</v>
      </c>
      <c r="G38" s="2" t="s">
        <v>80</v>
      </c>
      <c r="H38" s="2" t="s">
        <v>81</v>
      </c>
      <c r="I38" s="2" t="s">
        <v>79</v>
      </c>
      <c r="J38" s="2" t="s">
        <v>80</v>
      </c>
      <c r="K38" s="2" t="s">
        <v>81</v>
      </c>
    </row>
    <row r="39" spans="1:11" x14ac:dyDescent="0.2">
      <c r="A39" s="2">
        <v>1</v>
      </c>
      <c r="B39" s="2">
        <v>2</v>
      </c>
      <c r="C39" s="2">
        <v>3</v>
      </c>
      <c r="D39" s="2">
        <v>4</v>
      </c>
      <c r="E39" s="2">
        <v>5</v>
      </c>
      <c r="F39" s="2">
        <v>6</v>
      </c>
      <c r="G39" s="2">
        <v>7</v>
      </c>
      <c r="H39" s="2">
        <v>8</v>
      </c>
      <c r="I39" s="2">
        <v>9</v>
      </c>
      <c r="J39" s="2">
        <v>10</v>
      </c>
      <c r="K39" s="2">
        <v>11</v>
      </c>
    </row>
    <row r="40" spans="1:11" ht="25.5" x14ac:dyDescent="0.2">
      <c r="A40" s="90" t="s">
        <v>613</v>
      </c>
      <c r="B40" s="2">
        <v>1</v>
      </c>
      <c r="C40" s="6">
        <v>400</v>
      </c>
      <c r="D40" s="6">
        <v>400</v>
      </c>
      <c r="E40" s="6">
        <v>400</v>
      </c>
      <c r="F40" s="5">
        <v>200</v>
      </c>
      <c r="G40" s="5">
        <v>200</v>
      </c>
      <c r="H40" s="5">
        <v>200</v>
      </c>
      <c r="I40" s="286">
        <v>175358</v>
      </c>
      <c r="J40" s="247">
        <v>175358</v>
      </c>
      <c r="K40" s="247">
        <v>175358</v>
      </c>
    </row>
    <row r="41" spans="1:11" x14ac:dyDescent="0.2">
      <c r="A41" s="6" t="s">
        <v>335</v>
      </c>
      <c r="B41" s="2">
        <v>2</v>
      </c>
      <c r="C41" s="6">
        <v>30</v>
      </c>
      <c r="D41" s="6">
        <v>30</v>
      </c>
      <c r="E41" s="6">
        <v>30</v>
      </c>
      <c r="F41" s="5">
        <v>1666</v>
      </c>
      <c r="G41" s="5">
        <v>1666</v>
      </c>
      <c r="H41" s="5">
        <v>1666</v>
      </c>
      <c r="I41" s="286">
        <v>70000</v>
      </c>
      <c r="J41" s="247">
        <v>70000</v>
      </c>
      <c r="K41" s="247">
        <v>70000</v>
      </c>
    </row>
    <row r="42" spans="1:11" ht="38.25" x14ac:dyDescent="0.2">
      <c r="A42" s="6" t="s">
        <v>394</v>
      </c>
      <c r="B42" s="2">
        <v>3</v>
      </c>
      <c r="C42" s="6">
        <v>1000</v>
      </c>
      <c r="D42" s="6">
        <v>1000</v>
      </c>
      <c r="E42" s="6">
        <v>1000</v>
      </c>
      <c r="F42" s="5">
        <v>15</v>
      </c>
      <c r="G42" s="5">
        <v>15</v>
      </c>
      <c r="H42" s="5">
        <v>15</v>
      </c>
      <c r="I42" s="247">
        <v>70000</v>
      </c>
      <c r="J42" s="247">
        <v>70000</v>
      </c>
      <c r="K42" s="247">
        <v>70000</v>
      </c>
    </row>
    <row r="43" spans="1:11" ht="25.5" x14ac:dyDescent="0.2">
      <c r="A43" s="6" t="s">
        <v>395</v>
      </c>
      <c r="B43" s="2">
        <v>4</v>
      </c>
      <c r="C43" s="6">
        <v>1875</v>
      </c>
      <c r="D43" s="6">
        <v>1875</v>
      </c>
      <c r="E43" s="6">
        <v>1875</v>
      </c>
      <c r="F43" s="5">
        <v>8</v>
      </c>
      <c r="G43" s="5">
        <v>8</v>
      </c>
      <c r="H43" s="5">
        <v>8</v>
      </c>
      <c r="I43" s="247">
        <v>10000</v>
      </c>
      <c r="J43" s="247">
        <v>10000</v>
      </c>
      <c r="K43" s="247">
        <v>10000</v>
      </c>
    </row>
    <row r="44" spans="1:11" ht="25.5" x14ac:dyDescent="0.2">
      <c r="A44" s="6" t="s">
        <v>397</v>
      </c>
      <c r="B44" s="2">
        <v>5</v>
      </c>
      <c r="C44" s="6">
        <v>520</v>
      </c>
      <c r="D44" s="6">
        <v>520</v>
      </c>
      <c r="E44" s="6">
        <v>520</v>
      </c>
      <c r="F44" s="5">
        <v>50</v>
      </c>
      <c r="G44" s="5">
        <v>50</v>
      </c>
      <c r="H44" s="5">
        <v>50</v>
      </c>
      <c r="I44" s="286">
        <v>60000</v>
      </c>
      <c r="J44" s="247">
        <v>60000</v>
      </c>
      <c r="K44" s="247">
        <v>60000</v>
      </c>
    </row>
    <row r="45" spans="1:11" ht="25.5" x14ac:dyDescent="0.2">
      <c r="A45" s="6" t="s">
        <v>398</v>
      </c>
      <c r="B45" s="2">
        <v>6</v>
      </c>
      <c r="C45" s="6">
        <v>750</v>
      </c>
      <c r="D45" s="6">
        <v>750</v>
      </c>
      <c r="E45" s="6">
        <v>750</v>
      </c>
      <c r="F45" s="5">
        <v>20</v>
      </c>
      <c r="G45" s="5">
        <v>20</v>
      </c>
      <c r="H45" s="5">
        <v>20</v>
      </c>
      <c r="I45" s="247">
        <v>40000</v>
      </c>
      <c r="J45" s="247">
        <v>40000</v>
      </c>
      <c r="K45" s="247">
        <v>40000</v>
      </c>
    </row>
    <row r="46" spans="1:11" ht="25.5" x14ac:dyDescent="0.2">
      <c r="A46" s="6" t="s">
        <v>399</v>
      </c>
      <c r="B46" s="2">
        <v>7</v>
      </c>
      <c r="C46" s="6">
        <v>110</v>
      </c>
      <c r="D46" s="6">
        <v>110</v>
      </c>
      <c r="E46" s="6">
        <v>110</v>
      </c>
      <c r="F46" s="5">
        <v>100</v>
      </c>
      <c r="G46" s="5">
        <v>100</v>
      </c>
      <c r="H46" s="5">
        <v>100</v>
      </c>
      <c r="I46" s="247">
        <v>5000</v>
      </c>
      <c r="J46" s="247">
        <v>5000</v>
      </c>
      <c r="K46" s="247">
        <v>5000</v>
      </c>
    </row>
    <row r="47" spans="1:11" ht="25.5" x14ac:dyDescent="0.2">
      <c r="A47" s="6" t="s">
        <v>396</v>
      </c>
      <c r="B47" s="2">
        <v>8</v>
      </c>
      <c r="C47" s="6">
        <v>67</v>
      </c>
      <c r="D47" s="6">
        <v>67</v>
      </c>
      <c r="E47" s="6">
        <v>67</v>
      </c>
      <c r="F47" s="5">
        <v>300</v>
      </c>
      <c r="G47" s="5">
        <v>300</v>
      </c>
      <c r="H47" s="5">
        <v>300</v>
      </c>
      <c r="I47" s="247">
        <v>25000</v>
      </c>
      <c r="J47" s="247">
        <v>25000</v>
      </c>
      <c r="K47" s="247">
        <v>25000</v>
      </c>
    </row>
    <row r="48" spans="1:11" ht="25.5" x14ac:dyDescent="0.2">
      <c r="A48" s="90" t="s">
        <v>612</v>
      </c>
      <c r="B48" s="234">
        <v>9</v>
      </c>
      <c r="C48" s="235">
        <v>32</v>
      </c>
      <c r="D48" s="235">
        <v>32</v>
      </c>
      <c r="E48" s="235">
        <v>32</v>
      </c>
      <c r="F48" s="237">
        <f>I48/C48</f>
        <v>9540.21875</v>
      </c>
      <c r="G48" s="237">
        <v>9540.2199999999993</v>
      </c>
      <c r="H48" s="237">
        <v>9540.2199999999993</v>
      </c>
      <c r="I48" s="247">
        <v>305287</v>
      </c>
      <c r="J48" s="247">
        <v>305287</v>
      </c>
      <c r="K48" s="247">
        <v>305287</v>
      </c>
    </row>
    <row r="49" spans="1:13" x14ac:dyDescent="0.2">
      <c r="A49" s="6" t="s">
        <v>137</v>
      </c>
      <c r="B49" s="2">
        <v>9000</v>
      </c>
      <c r="C49" s="2" t="s">
        <v>12</v>
      </c>
      <c r="D49" s="2" t="s">
        <v>12</v>
      </c>
      <c r="E49" s="2" t="s">
        <v>12</v>
      </c>
      <c r="F49" s="2" t="s">
        <v>12</v>
      </c>
      <c r="G49" s="2" t="s">
        <v>12</v>
      </c>
      <c r="H49" s="2" t="s">
        <v>12</v>
      </c>
      <c r="I49" s="5">
        <f>SUM(I40:I47)+I48</f>
        <v>760645</v>
      </c>
      <c r="J49" s="249">
        <f>SUM(J40:J47)+J48</f>
        <v>760645</v>
      </c>
      <c r="K49" s="249">
        <f>SUM(K40:K47)+K48</f>
        <v>760645</v>
      </c>
    </row>
    <row r="50" spans="1:13" x14ac:dyDescent="0.2">
      <c r="A50" s="53"/>
      <c r="B50" s="49"/>
      <c r="C50" s="49"/>
      <c r="D50" s="49"/>
      <c r="E50" s="49"/>
      <c r="F50" s="49"/>
      <c r="G50" s="49"/>
      <c r="H50" s="49"/>
      <c r="I50" s="54"/>
      <c r="J50" s="54"/>
      <c r="K50" s="54"/>
      <c r="L50" s="124" t="s">
        <v>621</v>
      </c>
      <c r="M50" s="124"/>
    </row>
    <row r="51" spans="1:13" hidden="1" x14ac:dyDescent="0.2">
      <c r="A51" s="228"/>
      <c r="B51" s="49"/>
      <c r="C51" s="49"/>
      <c r="D51" s="49"/>
      <c r="E51" s="49"/>
      <c r="F51" s="49"/>
      <c r="G51" s="49"/>
      <c r="H51" s="49"/>
      <c r="I51" s="54"/>
      <c r="J51" s="54"/>
      <c r="K51" s="54"/>
    </row>
    <row r="52" spans="1:13" hidden="1" x14ac:dyDescent="0.2">
      <c r="A52" s="228"/>
      <c r="B52" s="49"/>
      <c r="C52" s="49"/>
      <c r="D52" s="49"/>
      <c r="E52" s="49"/>
      <c r="F52" s="49"/>
      <c r="G52" s="49"/>
      <c r="H52" s="49"/>
      <c r="I52" s="54"/>
      <c r="J52" s="54"/>
      <c r="K52" s="54"/>
    </row>
    <row r="53" spans="1:13" hidden="1" x14ac:dyDescent="0.2">
      <c r="A53" s="228"/>
      <c r="B53" s="49"/>
      <c r="C53" s="49"/>
      <c r="D53" s="49"/>
      <c r="E53" s="49"/>
      <c r="F53" s="49"/>
      <c r="G53" s="49"/>
      <c r="H53" s="49"/>
      <c r="I53" s="54"/>
      <c r="J53" s="54"/>
      <c r="K53" s="54"/>
    </row>
    <row r="54" spans="1:13" hidden="1" x14ac:dyDescent="0.2">
      <c r="A54" s="228"/>
      <c r="B54" s="49"/>
      <c r="C54" s="49"/>
      <c r="D54" s="49"/>
      <c r="E54" s="49"/>
      <c r="F54" s="49"/>
      <c r="G54" s="49"/>
      <c r="H54" s="49"/>
      <c r="I54" s="54"/>
      <c r="J54" s="54"/>
      <c r="K54" s="54"/>
    </row>
    <row r="55" spans="1:13" hidden="1" x14ac:dyDescent="0.2">
      <c r="A55" s="124"/>
      <c r="L55" s="124" t="s">
        <v>593</v>
      </c>
    </row>
    <row r="56" spans="1:13" hidden="1" x14ac:dyDescent="0.2">
      <c r="A56" s="124" t="s">
        <v>301</v>
      </c>
    </row>
    <row r="57" spans="1:13" hidden="1" x14ac:dyDescent="0.2">
      <c r="A57" s="370" t="s">
        <v>219</v>
      </c>
      <c r="B57" s="335" t="s">
        <v>1</v>
      </c>
      <c r="C57" s="335" t="s">
        <v>315</v>
      </c>
      <c r="D57" s="335"/>
      <c r="E57" s="335"/>
      <c r="F57" s="335" t="s">
        <v>316</v>
      </c>
      <c r="G57" s="335"/>
      <c r="H57" s="335"/>
      <c r="I57" s="335" t="s">
        <v>117</v>
      </c>
      <c r="J57" s="335"/>
      <c r="K57" s="335"/>
    </row>
    <row r="58" spans="1:13" hidden="1" x14ac:dyDescent="0.2">
      <c r="A58" s="370"/>
      <c r="B58" s="335"/>
      <c r="C58" s="2" t="s">
        <v>4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</row>
    <row r="59" spans="1:13" ht="38.25" hidden="1" x14ac:dyDescent="0.2">
      <c r="A59" s="370"/>
      <c r="B59" s="335"/>
      <c r="C59" s="2" t="s">
        <v>79</v>
      </c>
      <c r="D59" s="2" t="s">
        <v>80</v>
      </c>
      <c r="E59" s="2" t="s">
        <v>81</v>
      </c>
      <c r="F59" s="2" t="s">
        <v>79</v>
      </c>
      <c r="G59" s="2" t="s">
        <v>80</v>
      </c>
      <c r="H59" s="2" t="s">
        <v>81</v>
      </c>
      <c r="I59" s="2" t="s">
        <v>79</v>
      </c>
      <c r="J59" s="2" t="s">
        <v>80</v>
      </c>
      <c r="K59" s="2" t="s">
        <v>81</v>
      </c>
    </row>
    <row r="60" spans="1:13" hidden="1" x14ac:dyDescent="0.2">
      <c r="A60" s="229">
        <v>1</v>
      </c>
      <c r="B60" s="2">
        <v>2</v>
      </c>
      <c r="C60" s="2">
        <v>3</v>
      </c>
      <c r="D60" s="2">
        <v>4</v>
      </c>
      <c r="E60" s="2">
        <v>5</v>
      </c>
      <c r="F60" s="2">
        <v>6</v>
      </c>
      <c r="G60" s="2">
        <v>7</v>
      </c>
      <c r="H60" s="2">
        <v>8</v>
      </c>
      <c r="I60" s="2">
        <v>9</v>
      </c>
      <c r="J60" s="2">
        <v>10</v>
      </c>
      <c r="K60" s="2">
        <v>11</v>
      </c>
    </row>
    <row r="61" spans="1:13" hidden="1" x14ac:dyDescent="0.2">
      <c r="A61" s="230" t="s">
        <v>340</v>
      </c>
      <c r="B61" s="2">
        <v>1</v>
      </c>
      <c r="C61" s="6">
        <v>25</v>
      </c>
      <c r="D61" s="6"/>
      <c r="E61" s="6"/>
      <c r="F61" s="5"/>
      <c r="G61" s="5"/>
      <c r="H61" s="5"/>
      <c r="I61" s="5">
        <f>C61*F61</f>
        <v>0</v>
      </c>
      <c r="J61" s="5"/>
      <c r="K61" s="5"/>
    </row>
    <row r="62" spans="1:13" hidden="1" x14ac:dyDescent="0.2">
      <c r="A62" s="230" t="s">
        <v>137</v>
      </c>
      <c r="B62" s="2">
        <v>9000</v>
      </c>
      <c r="C62" s="2" t="s">
        <v>12</v>
      </c>
      <c r="D62" s="2" t="s">
        <v>12</v>
      </c>
      <c r="E62" s="2" t="s">
        <v>12</v>
      </c>
      <c r="F62" s="2" t="s">
        <v>12</v>
      </c>
      <c r="G62" s="2" t="s">
        <v>12</v>
      </c>
      <c r="H62" s="2" t="s">
        <v>12</v>
      </c>
      <c r="I62" s="5">
        <f>SUM(I61:I61)</f>
        <v>0</v>
      </c>
      <c r="J62" s="5">
        <f>SUM(J61:J61)</f>
        <v>0</v>
      </c>
      <c r="K62" s="5">
        <f>SUM(K61:K61)</f>
        <v>0</v>
      </c>
    </row>
    <row r="63" spans="1:13" hidden="1" x14ac:dyDescent="0.2">
      <c r="A63" s="124"/>
    </row>
    <row r="64" spans="1:13" hidden="1" x14ac:dyDescent="0.2">
      <c r="A64" s="124" t="s">
        <v>341</v>
      </c>
    </row>
    <row r="65" spans="1:11" hidden="1" x14ac:dyDescent="0.2">
      <c r="A65" s="370" t="s">
        <v>219</v>
      </c>
      <c r="B65" s="335" t="s">
        <v>1</v>
      </c>
      <c r="C65" s="335" t="s">
        <v>315</v>
      </c>
      <c r="D65" s="335"/>
      <c r="E65" s="335"/>
      <c r="F65" s="335" t="s">
        <v>316</v>
      </c>
      <c r="G65" s="335"/>
      <c r="H65" s="335"/>
      <c r="I65" s="335" t="s">
        <v>117</v>
      </c>
      <c r="J65" s="335"/>
      <c r="K65" s="335"/>
    </row>
    <row r="66" spans="1:11" hidden="1" x14ac:dyDescent="0.2">
      <c r="A66" s="370"/>
      <c r="B66" s="335"/>
      <c r="C66" s="2" t="s">
        <v>4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</row>
    <row r="67" spans="1:11" ht="38.25" hidden="1" x14ac:dyDescent="0.2">
      <c r="A67" s="370"/>
      <c r="B67" s="335"/>
      <c r="C67" s="2" t="s">
        <v>79</v>
      </c>
      <c r="D67" s="2" t="s">
        <v>80</v>
      </c>
      <c r="E67" s="2" t="s">
        <v>81</v>
      </c>
      <c r="F67" s="2" t="s">
        <v>79</v>
      </c>
      <c r="G67" s="2" t="s">
        <v>80</v>
      </c>
      <c r="H67" s="2" t="s">
        <v>81</v>
      </c>
      <c r="I67" s="2" t="s">
        <v>79</v>
      </c>
      <c r="J67" s="2" t="s">
        <v>80</v>
      </c>
      <c r="K67" s="2" t="s">
        <v>81</v>
      </c>
    </row>
    <row r="68" spans="1:11" hidden="1" x14ac:dyDescent="0.2">
      <c r="A68" s="229">
        <v>1</v>
      </c>
      <c r="B68" s="2">
        <v>2</v>
      </c>
      <c r="C68" s="2">
        <v>3</v>
      </c>
      <c r="D68" s="2">
        <v>4</v>
      </c>
      <c r="E68" s="2">
        <v>5</v>
      </c>
      <c r="F68" s="2">
        <v>6</v>
      </c>
      <c r="G68" s="2">
        <v>7</v>
      </c>
      <c r="H68" s="2">
        <v>8</v>
      </c>
      <c r="I68" s="2">
        <v>9</v>
      </c>
      <c r="J68" s="2">
        <v>10</v>
      </c>
      <c r="K68" s="2">
        <v>11</v>
      </c>
    </row>
    <row r="69" spans="1:11" hidden="1" x14ac:dyDescent="0.2">
      <c r="A69" s="230" t="s">
        <v>342</v>
      </c>
      <c r="B69" s="2">
        <v>1</v>
      </c>
      <c r="C69" s="6">
        <v>100</v>
      </c>
      <c r="D69" s="6"/>
      <c r="E69" s="6"/>
      <c r="F69" s="5"/>
      <c r="G69" s="5"/>
      <c r="H69" s="5"/>
      <c r="I69" s="5">
        <f>C69*F69</f>
        <v>0</v>
      </c>
      <c r="J69" s="5"/>
      <c r="K69" s="5"/>
    </row>
    <row r="70" spans="1:11" hidden="1" x14ac:dyDescent="0.2">
      <c r="A70" s="230" t="s">
        <v>335</v>
      </c>
      <c r="B70" s="2">
        <v>2</v>
      </c>
      <c r="C70" s="6">
        <v>20</v>
      </c>
      <c r="D70" s="6"/>
      <c r="E70" s="6"/>
      <c r="F70" s="5"/>
      <c r="G70" s="5"/>
      <c r="H70" s="5"/>
      <c r="I70" s="5">
        <f>C70*F70</f>
        <v>0</v>
      </c>
      <c r="J70" s="5"/>
      <c r="K70" s="5"/>
    </row>
    <row r="71" spans="1:11" hidden="1" x14ac:dyDescent="0.2">
      <c r="A71" s="230" t="s">
        <v>137</v>
      </c>
      <c r="B71" s="2">
        <v>9000</v>
      </c>
      <c r="C71" s="2" t="s">
        <v>12</v>
      </c>
      <c r="D71" s="2" t="s">
        <v>12</v>
      </c>
      <c r="E71" s="2" t="s">
        <v>12</v>
      </c>
      <c r="F71" s="2" t="s">
        <v>12</v>
      </c>
      <c r="G71" s="2" t="s">
        <v>12</v>
      </c>
      <c r="H71" s="2" t="s">
        <v>12</v>
      </c>
      <c r="I71" s="5">
        <f>SUM(I69:I70)</f>
        <v>0</v>
      </c>
      <c r="J71" s="5">
        <f>SUM(J69:J70)</f>
        <v>0</v>
      </c>
      <c r="K71" s="5">
        <f>SUM(K69:K70)</f>
        <v>0</v>
      </c>
    </row>
    <row r="72" spans="1:11" hidden="1" x14ac:dyDescent="0.2">
      <c r="A72" s="124" t="s">
        <v>609</v>
      </c>
    </row>
    <row r="73" spans="1:11" hidden="1" x14ac:dyDescent="0.2">
      <c r="A73" s="335" t="s">
        <v>219</v>
      </c>
      <c r="B73" s="335" t="s">
        <v>1</v>
      </c>
      <c r="C73" s="335" t="s">
        <v>315</v>
      </c>
      <c r="D73" s="335"/>
      <c r="E73" s="335"/>
      <c r="F73" s="335" t="s">
        <v>316</v>
      </c>
      <c r="G73" s="335"/>
      <c r="H73" s="335"/>
      <c r="I73" s="335" t="s">
        <v>117</v>
      </c>
      <c r="J73" s="335"/>
      <c r="K73" s="335"/>
    </row>
    <row r="74" spans="1:11" hidden="1" x14ac:dyDescent="0.2">
      <c r="A74" s="335"/>
      <c r="B74" s="335"/>
      <c r="C74" s="248" t="s">
        <v>519</v>
      </c>
      <c r="D74" s="248" t="s">
        <v>582</v>
      </c>
      <c r="E74" s="248" t="s">
        <v>614</v>
      </c>
      <c r="F74" s="248" t="s">
        <v>519</v>
      </c>
      <c r="G74" s="248" t="s">
        <v>582</v>
      </c>
      <c r="H74" s="248" t="s">
        <v>614</v>
      </c>
      <c r="I74" s="248" t="s">
        <v>519</v>
      </c>
      <c r="J74" s="248" t="s">
        <v>582</v>
      </c>
      <c r="K74" s="248" t="s">
        <v>614</v>
      </c>
    </row>
    <row r="75" spans="1:11" ht="38.25" hidden="1" x14ac:dyDescent="0.2">
      <c r="A75" s="335"/>
      <c r="B75" s="335"/>
      <c r="C75" s="182" t="s">
        <v>79</v>
      </c>
      <c r="D75" s="182" t="s">
        <v>80</v>
      </c>
      <c r="E75" s="182" t="s">
        <v>81</v>
      </c>
      <c r="F75" s="182" t="s">
        <v>79</v>
      </c>
      <c r="G75" s="182" t="s">
        <v>80</v>
      </c>
      <c r="H75" s="182" t="s">
        <v>81</v>
      </c>
      <c r="I75" s="182" t="s">
        <v>79</v>
      </c>
      <c r="J75" s="182" t="s">
        <v>80</v>
      </c>
      <c r="K75" s="182" t="s">
        <v>81</v>
      </c>
    </row>
    <row r="76" spans="1:11" hidden="1" x14ac:dyDescent="0.2">
      <c r="A76" s="182">
        <v>1</v>
      </c>
      <c r="B76" s="182">
        <v>2</v>
      </c>
      <c r="C76" s="182">
        <v>3</v>
      </c>
      <c r="D76" s="182">
        <v>4</v>
      </c>
      <c r="E76" s="182">
        <v>5</v>
      </c>
      <c r="F76" s="182">
        <v>6</v>
      </c>
      <c r="G76" s="182">
        <v>7</v>
      </c>
      <c r="H76" s="182">
        <v>8</v>
      </c>
      <c r="I76" s="182">
        <v>9</v>
      </c>
      <c r="J76" s="182">
        <v>10</v>
      </c>
      <c r="K76" s="182">
        <v>11</v>
      </c>
    </row>
    <row r="77" spans="1:11" ht="25.5" hidden="1" x14ac:dyDescent="0.2">
      <c r="A77" s="90" t="s">
        <v>558</v>
      </c>
      <c r="B77" s="182">
        <v>1</v>
      </c>
      <c r="C77" s="183">
        <v>132</v>
      </c>
      <c r="D77" s="183">
        <v>0</v>
      </c>
      <c r="E77" s="183">
        <v>0</v>
      </c>
      <c r="F77" s="184">
        <f>I77/C77</f>
        <v>0</v>
      </c>
      <c r="G77" s="184">
        <v>0</v>
      </c>
      <c r="H77" s="184">
        <v>0</v>
      </c>
      <c r="I77" s="184"/>
      <c r="J77" s="184">
        <v>0</v>
      </c>
      <c r="K77" s="184">
        <v>0</v>
      </c>
    </row>
    <row r="78" spans="1:11" ht="38.25" hidden="1" x14ac:dyDescent="0.2">
      <c r="A78" s="90" t="s">
        <v>580</v>
      </c>
      <c r="B78" s="187">
        <v>2</v>
      </c>
      <c r="C78" s="188">
        <v>16</v>
      </c>
      <c r="D78" s="188">
        <v>0</v>
      </c>
      <c r="E78" s="188">
        <v>0</v>
      </c>
      <c r="F78" s="191">
        <f>I78/C78</f>
        <v>0</v>
      </c>
      <c r="G78" s="191">
        <v>0</v>
      </c>
      <c r="H78" s="191">
        <v>0</v>
      </c>
      <c r="I78" s="191"/>
      <c r="J78" s="191">
        <v>0</v>
      </c>
      <c r="K78" s="191">
        <v>0</v>
      </c>
    </row>
    <row r="79" spans="1:11" ht="25.5" hidden="1" x14ac:dyDescent="0.2">
      <c r="A79" s="90" t="s">
        <v>608</v>
      </c>
      <c r="B79" s="218">
        <v>2</v>
      </c>
      <c r="C79" s="219">
        <v>342</v>
      </c>
      <c r="D79" s="219">
        <v>0</v>
      </c>
      <c r="E79" s="219">
        <v>0</v>
      </c>
      <c r="F79" s="221">
        <f>I79/C79</f>
        <v>0</v>
      </c>
      <c r="G79" s="221">
        <v>0</v>
      </c>
      <c r="H79" s="221">
        <v>0</v>
      </c>
      <c r="I79" s="221"/>
      <c r="J79" s="221">
        <v>0</v>
      </c>
      <c r="K79" s="221">
        <v>0</v>
      </c>
    </row>
    <row r="80" spans="1:11" hidden="1" x14ac:dyDescent="0.2">
      <c r="A80" s="183" t="s">
        <v>137</v>
      </c>
      <c r="B80" s="182">
        <v>9000</v>
      </c>
      <c r="C80" s="182" t="s">
        <v>12</v>
      </c>
      <c r="D80" s="182" t="s">
        <v>12</v>
      </c>
      <c r="E80" s="182" t="s">
        <v>12</v>
      </c>
      <c r="F80" s="182" t="s">
        <v>12</v>
      </c>
      <c r="G80" s="182" t="s">
        <v>12</v>
      </c>
      <c r="H80" s="182" t="s">
        <v>12</v>
      </c>
      <c r="I80" s="184">
        <f>I77+I78+I79</f>
        <v>0</v>
      </c>
      <c r="J80" s="184">
        <f>J77</f>
        <v>0</v>
      </c>
      <c r="K80" s="184">
        <f>K77</f>
        <v>0</v>
      </c>
    </row>
    <row r="81" spans="1:12" hidden="1" x14ac:dyDescent="0.2"/>
    <row r="82" spans="1:12" x14ac:dyDescent="0.2">
      <c r="A82" s="3" t="s">
        <v>703</v>
      </c>
    </row>
    <row r="83" spans="1:12" x14ac:dyDescent="0.2">
      <c r="A83" s="335" t="s">
        <v>219</v>
      </c>
      <c r="B83" s="335" t="s">
        <v>1</v>
      </c>
      <c r="C83" s="335" t="s">
        <v>315</v>
      </c>
      <c r="D83" s="335"/>
      <c r="E83" s="335"/>
      <c r="F83" s="335" t="s">
        <v>316</v>
      </c>
      <c r="G83" s="335"/>
      <c r="H83" s="335"/>
      <c r="I83" s="335" t="s">
        <v>117</v>
      </c>
      <c r="J83" s="335"/>
      <c r="K83" s="335"/>
    </row>
    <row r="84" spans="1:12" x14ac:dyDescent="0.2">
      <c r="A84" s="335"/>
      <c r="B84" s="335"/>
      <c r="C84" s="290" t="s">
        <v>582</v>
      </c>
      <c r="D84" s="290" t="s">
        <v>614</v>
      </c>
      <c r="E84" s="290" t="s">
        <v>694</v>
      </c>
      <c r="F84" s="290" t="s">
        <v>582</v>
      </c>
      <c r="G84" s="290" t="s">
        <v>614</v>
      </c>
      <c r="H84" s="290" t="s">
        <v>694</v>
      </c>
      <c r="I84" s="290" t="s">
        <v>582</v>
      </c>
      <c r="J84" s="290" t="s">
        <v>614</v>
      </c>
      <c r="K84" s="290" t="s">
        <v>694</v>
      </c>
    </row>
    <row r="85" spans="1:12" ht="38.25" x14ac:dyDescent="0.2">
      <c r="A85" s="335"/>
      <c r="B85" s="335"/>
      <c r="C85" s="2" t="s">
        <v>79</v>
      </c>
      <c r="D85" s="2" t="s">
        <v>80</v>
      </c>
      <c r="E85" s="2" t="s">
        <v>81</v>
      </c>
      <c r="F85" s="2" t="s">
        <v>79</v>
      </c>
      <c r="G85" s="2" t="s">
        <v>80</v>
      </c>
      <c r="H85" s="2" t="s">
        <v>81</v>
      </c>
      <c r="I85" s="2" t="s">
        <v>79</v>
      </c>
      <c r="J85" s="2" t="s">
        <v>80</v>
      </c>
      <c r="K85" s="2" t="s">
        <v>81</v>
      </c>
    </row>
    <row r="86" spans="1:12" x14ac:dyDescent="0.2">
      <c r="A86" s="2">
        <v>1</v>
      </c>
      <c r="B86" s="2">
        <v>2</v>
      </c>
      <c r="C86" s="2">
        <v>3</v>
      </c>
      <c r="D86" s="2">
        <v>4</v>
      </c>
      <c r="E86" s="2">
        <v>5</v>
      </c>
      <c r="F86" s="2">
        <v>6</v>
      </c>
      <c r="G86" s="2">
        <v>7</v>
      </c>
      <c r="H86" s="2">
        <v>8</v>
      </c>
      <c r="I86" s="2">
        <v>9</v>
      </c>
      <c r="J86" s="2">
        <v>10</v>
      </c>
      <c r="K86" s="2">
        <v>11</v>
      </c>
    </row>
    <row r="87" spans="1:12" ht="25.5" x14ac:dyDescent="0.2">
      <c r="A87" s="90" t="s">
        <v>473</v>
      </c>
      <c r="B87" s="2">
        <v>1</v>
      </c>
      <c r="C87" s="6">
        <v>30</v>
      </c>
      <c r="D87" s="6">
        <v>30</v>
      </c>
      <c r="E87" s="6">
        <v>30</v>
      </c>
      <c r="F87" s="5">
        <v>775</v>
      </c>
      <c r="G87" s="5">
        <v>775</v>
      </c>
      <c r="H87" s="5">
        <v>775</v>
      </c>
      <c r="I87" s="5">
        <v>23260</v>
      </c>
      <c r="J87" s="5">
        <v>23260</v>
      </c>
      <c r="K87" s="5">
        <v>23260</v>
      </c>
      <c r="L87" s="124" t="s">
        <v>594</v>
      </c>
    </row>
    <row r="88" spans="1:12" ht="40.5" hidden="1" customHeight="1" x14ac:dyDescent="0.2">
      <c r="A88" s="90" t="s">
        <v>550</v>
      </c>
      <c r="B88" s="85">
        <v>2</v>
      </c>
      <c r="C88" s="86">
        <v>52</v>
      </c>
      <c r="D88" s="86">
        <v>0</v>
      </c>
      <c r="E88" s="86">
        <v>0</v>
      </c>
      <c r="F88" s="89">
        <f>I88/C88</f>
        <v>0</v>
      </c>
      <c r="G88" s="89">
        <v>0</v>
      </c>
      <c r="H88" s="89">
        <v>0</v>
      </c>
      <c r="I88" s="89"/>
      <c r="J88" s="89">
        <v>0</v>
      </c>
      <c r="K88" s="89">
        <v>0</v>
      </c>
    </row>
    <row r="89" spans="1:12" ht="38.25" hidden="1" x14ac:dyDescent="0.2">
      <c r="A89" s="90" t="s">
        <v>474</v>
      </c>
      <c r="B89" s="95">
        <v>3</v>
      </c>
      <c r="C89" s="96">
        <v>3</v>
      </c>
      <c r="D89" s="96">
        <v>0</v>
      </c>
      <c r="E89" s="96">
        <v>0</v>
      </c>
      <c r="F89" s="99">
        <f>I89/C89</f>
        <v>0</v>
      </c>
      <c r="G89" s="99">
        <v>0</v>
      </c>
      <c r="H89" s="99">
        <v>0</v>
      </c>
      <c r="I89" s="99"/>
      <c r="J89" s="99">
        <v>0</v>
      </c>
      <c r="K89" s="99">
        <v>0</v>
      </c>
    </row>
    <row r="90" spans="1:12" ht="25.5" hidden="1" x14ac:dyDescent="0.2">
      <c r="A90" s="90" t="s">
        <v>578</v>
      </c>
      <c r="B90" s="95">
        <v>2</v>
      </c>
      <c r="C90" s="96">
        <v>1</v>
      </c>
      <c r="D90" s="96">
        <v>0</v>
      </c>
      <c r="E90" s="96">
        <v>0</v>
      </c>
      <c r="F90" s="99">
        <v>1500</v>
      </c>
      <c r="G90" s="99">
        <v>0</v>
      </c>
      <c r="H90" s="99">
        <v>0</v>
      </c>
      <c r="I90" s="99"/>
      <c r="J90" s="99">
        <v>0</v>
      </c>
      <c r="K90" s="99">
        <v>0</v>
      </c>
    </row>
    <row r="91" spans="1:12" hidden="1" x14ac:dyDescent="0.2">
      <c r="A91" s="90" t="s">
        <v>549</v>
      </c>
      <c r="B91" s="125">
        <v>3</v>
      </c>
      <c r="C91" s="126">
        <v>7</v>
      </c>
      <c r="D91" s="126">
        <v>0</v>
      </c>
      <c r="E91" s="126">
        <v>0</v>
      </c>
      <c r="F91" s="128">
        <f>I91/C91</f>
        <v>0</v>
      </c>
      <c r="G91" s="128">
        <v>0</v>
      </c>
      <c r="H91" s="128">
        <v>0</v>
      </c>
      <c r="I91" s="128"/>
      <c r="J91" s="128">
        <v>0</v>
      </c>
      <c r="K91" s="128">
        <v>0</v>
      </c>
    </row>
    <row r="92" spans="1:12" ht="25.5" x14ac:dyDescent="0.2">
      <c r="A92" s="90" t="s">
        <v>702</v>
      </c>
      <c r="B92" s="167">
        <v>2</v>
      </c>
      <c r="C92" s="168">
        <v>45</v>
      </c>
      <c r="D92" s="168">
        <v>0</v>
      </c>
      <c r="E92" s="168">
        <v>0</v>
      </c>
      <c r="F92" s="169">
        <f>I92/C92</f>
        <v>4444.4444444444443</v>
      </c>
      <c r="G92" s="169">
        <v>0</v>
      </c>
      <c r="H92" s="169">
        <v>0</v>
      </c>
      <c r="I92" s="169">
        <v>200000</v>
      </c>
      <c r="J92" s="169">
        <v>0</v>
      </c>
      <c r="K92" s="169">
        <v>0</v>
      </c>
    </row>
    <row r="93" spans="1:12" ht="25.5" x14ac:dyDescent="0.2">
      <c r="A93" s="90" t="s">
        <v>686</v>
      </c>
      <c r="B93" s="187">
        <v>4</v>
      </c>
      <c r="C93" s="188">
        <v>781</v>
      </c>
      <c r="D93" s="188">
        <v>781</v>
      </c>
      <c r="E93" s="188">
        <v>781</v>
      </c>
      <c r="F93" s="191">
        <f>I93/C93</f>
        <v>18.379001280409732</v>
      </c>
      <c r="G93" s="191">
        <v>18.38</v>
      </c>
      <c r="H93" s="191">
        <v>18.38</v>
      </c>
      <c r="I93" s="191">
        <v>14354</v>
      </c>
      <c r="J93" s="191">
        <v>14354</v>
      </c>
      <c r="K93" s="191">
        <v>14354</v>
      </c>
    </row>
    <row r="94" spans="1:12" ht="25.5" hidden="1" x14ac:dyDescent="0.2">
      <c r="A94" s="90" t="s">
        <v>572</v>
      </c>
      <c r="B94" s="187">
        <v>8</v>
      </c>
      <c r="C94" s="188">
        <v>14</v>
      </c>
      <c r="D94" s="188">
        <v>0</v>
      </c>
      <c r="E94" s="188">
        <v>0</v>
      </c>
      <c r="F94" s="191">
        <f>I94/C94</f>
        <v>0</v>
      </c>
      <c r="G94" s="191">
        <v>0</v>
      </c>
      <c r="H94" s="191">
        <v>0</v>
      </c>
      <c r="I94" s="191"/>
      <c r="J94" s="191">
        <v>0</v>
      </c>
      <c r="K94" s="191">
        <v>0</v>
      </c>
    </row>
    <row r="95" spans="1:12" hidden="1" x14ac:dyDescent="0.2">
      <c r="A95" s="90" t="s">
        <v>573</v>
      </c>
      <c r="B95" s="187">
        <v>9</v>
      </c>
      <c r="C95" s="188">
        <v>1</v>
      </c>
      <c r="D95" s="188">
        <v>0</v>
      </c>
      <c r="E95" s="188">
        <v>0</v>
      </c>
      <c r="F95" s="191">
        <v>13919.18</v>
      </c>
      <c r="G95" s="191">
        <v>0</v>
      </c>
      <c r="H95" s="191">
        <v>0</v>
      </c>
      <c r="I95" s="191"/>
      <c r="J95" s="191">
        <v>0</v>
      </c>
      <c r="K95" s="191">
        <v>0</v>
      </c>
    </row>
    <row r="96" spans="1:12" ht="38.25" hidden="1" x14ac:dyDescent="0.2">
      <c r="A96" s="90" t="s">
        <v>571</v>
      </c>
      <c r="B96" s="187">
        <v>10</v>
      </c>
      <c r="C96" s="188">
        <v>6</v>
      </c>
      <c r="D96" s="188">
        <v>0</v>
      </c>
      <c r="E96" s="188">
        <v>0</v>
      </c>
      <c r="F96" s="191">
        <f>I96/C96</f>
        <v>0</v>
      </c>
      <c r="G96" s="191">
        <v>0</v>
      </c>
      <c r="H96" s="191">
        <v>0</v>
      </c>
      <c r="I96" s="191"/>
      <c r="J96" s="191">
        <v>0</v>
      </c>
      <c r="K96" s="191">
        <v>0</v>
      </c>
    </row>
    <row r="97" spans="1:12" x14ac:dyDescent="0.2">
      <c r="A97" s="6" t="s">
        <v>137</v>
      </c>
      <c r="B97" s="2">
        <v>9000</v>
      </c>
      <c r="C97" s="2" t="s">
        <v>12</v>
      </c>
      <c r="D97" s="2" t="s">
        <v>12</v>
      </c>
      <c r="E97" s="2" t="s">
        <v>12</v>
      </c>
      <c r="F97" s="2" t="s">
        <v>12</v>
      </c>
      <c r="G97" s="2" t="s">
        <v>12</v>
      </c>
      <c r="H97" s="2" t="s">
        <v>12</v>
      </c>
      <c r="I97" s="5">
        <f>SUM(I87:I96)</f>
        <v>237614</v>
      </c>
      <c r="J97" s="294">
        <f t="shared" ref="J97:K97" si="3">SUM(J87:J96)</f>
        <v>37614</v>
      </c>
      <c r="K97" s="294">
        <f t="shared" si="3"/>
        <v>37614</v>
      </c>
    </row>
    <row r="98" spans="1:12" hidden="1" x14ac:dyDescent="0.2">
      <c r="A98" s="3" t="s">
        <v>532</v>
      </c>
    </row>
    <row r="99" spans="1:12" hidden="1" x14ac:dyDescent="0.2">
      <c r="A99" s="335" t="s">
        <v>219</v>
      </c>
      <c r="B99" s="335" t="s">
        <v>1</v>
      </c>
      <c r="C99" s="335" t="s">
        <v>315</v>
      </c>
      <c r="D99" s="335"/>
      <c r="E99" s="335"/>
      <c r="F99" s="335" t="s">
        <v>316</v>
      </c>
      <c r="G99" s="335"/>
      <c r="H99" s="335"/>
      <c r="I99" s="335" t="s">
        <v>117</v>
      </c>
      <c r="J99" s="335"/>
      <c r="K99" s="335"/>
    </row>
    <row r="100" spans="1:12" hidden="1" x14ac:dyDescent="0.2">
      <c r="A100" s="335"/>
      <c r="B100" s="335"/>
      <c r="C100" s="136" t="s">
        <v>364</v>
      </c>
      <c r="D100" s="136" t="s">
        <v>365</v>
      </c>
      <c r="E100" s="136" t="s">
        <v>519</v>
      </c>
      <c r="F100" s="136" t="s">
        <v>364</v>
      </c>
      <c r="G100" s="136" t="s">
        <v>365</v>
      </c>
      <c r="H100" s="136" t="s">
        <v>519</v>
      </c>
      <c r="I100" s="136" t="s">
        <v>364</v>
      </c>
      <c r="J100" s="136" t="s">
        <v>365</v>
      </c>
      <c r="K100" s="136" t="s">
        <v>519</v>
      </c>
    </row>
    <row r="101" spans="1:12" ht="38.25" hidden="1" x14ac:dyDescent="0.2">
      <c r="A101" s="335"/>
      <c r="B101" s="335"/>
      <c r="C101" s="2" t="s">
        <v>79</v>
      </c>
      <c r="D101" s="2" t="s">
        <v>80</v>
      </c>
      <c r="E101" s="2" t="s">
        <v>81</v>
      </c>
      <c r="F101" s="2" t="s">
        <v>79</v>
      </c>
      <c r="G101" s="2" t="s">
        <v>80</v>
      </c>
      <c r="H101" s="2" t="s">
        <v>81</v>
      </c>
      <c r="I101" s="2" t="s">
        <v>79</v>
      </c>
      <c r="J101" s="2" t="s">
        <v>80</v>
      </c>
      <c r="K101" s="2" t="s">
        <v>81</v>
      </c>
    </row>
    <row r="102" spans="1:12" hidden="1" x14ac:dyDescent="0.2">
      <c r="A102" s="2">
        <v>1</v>
      </c>
      <c r="B102" s="2">
        <v>2</v>
      </c>
      <c r="C102" s="2">
        <v>3</v>
      </c>
      <c r="D102" s="2">
        <v>4</v>
      </c>
      <c r="E102" s="2">
        <v>5</v>
      </c>
      <c r="F102" s="2">
        <v>6</v>
      </c>
      <c r="G102" s="2">
        <v>7</v>
      </c>
      <c r="H102" s="2">
        <v>8</v>
      </c>
      <c r="I102" s="2">
        <v>9</v>
      </c>
      <c r="J102" s="2">
        <v>10</v>
      </c>
      <c r="K102" s="2">
        <v>11</v>
      </c>
    </row>
    <row r="103" spans="1:12" ht="38.25" hidden="1" x14ac:dyDescent="0.2">
      <c r="A103" s="90" t="s">
        <v>485</v>
      </c>
      <c r="B103" s="2">
        <v>1</v>
      </c>
      <c r="C103" s="6">
        <v>168</v>
      </c>
      <c r="D103" s="6">
        <v>0</v>
      </c>
      <c r="E103" s="6">
        <v>0</v>
      </c>
      <c r="F103" s="5">
        <v>1.6</v>
      </c>
      <c r="G103" s="5">
        <v>0</v>
      </c>
      <c r="H103" s="5">
        <v>0</v>
      </c>
      <c r="I103" s="5"/>
      <c r="J103" s="5">
        <v>0</v>
      </c>
      <c r="K103" s="5">
        <v>0</v>
      </c>
    </row>
    <row r="104" spans="1:12" ht="38.25" hidden="1" x14ac:dyDescent="0.2">
      <c r="A104" s="90" t="s">
        <v>486</v>
      </c>
      <c r="B104" s="95">
        <v>2</v>
      </c>
      <c r="C104" s="96">
        <f>I104/F104</f>
        <v>0</v>
      </c>
      <c r="D104" s="96">
        <v>0</v>
      </c>
      <c r="E104" s="96">
        <v>0</v>
      </c>
      <c r="F104" s="99">
        <v>1.6</v>
      </c>
      <c r="G104" s="99">
        <v>0</v>
      </c>
      <c r="H104" s="99">
        <v>0</v>
      </c>
      <c r="I104" s="99"/>
      <c r="J104" s="99">
        <v>0</v>
      </c>
      <c r="K104" s="99">
        <v>0</v>
      </c>
    </row>
    <row r="105" spans="1:12" ht="38.25" hidden="1" x14ac:dyDescent="0.2">
      <c r="A105" s="90" t="s">
        <v>517</v>
      </c>
      <c r="B105" s="125">
        <v>3</v>
      </c>
      <c r="C105" s="126">
        <v>1</v>
      </c>
      <c r="D105" s="126">
        <v>0</v>
      </c>
      <c r="E105" s="126">
        <v>0</v>
      </c>
      <c r="F105" s="128">
        <v>4200</v>
      </c>
      <c r="G105" s="128">
        <v>0</v>
      </c>
      <c r="H105" s="128">
        <v>0</v>
      </c>
      <c r="I105" s="128"/>
      <c r="J105" s="128"/>
      <c r="K105" s="128"/>
    </row>
    <row r="106" spans="1:12" hidden="1" x14ac:dyDescent="0.2">
      <c r="A106" s="6" t="s">
        <v>137</v>
      </c>
      <c r="B106" s="2">
        <v>9000</v>
      </c>
      <c r="C106" s="2" t="s">
        <v>12</v>
      </c>
      <c r="D106" s="2" t="s">
        <v>12</v>
      </c>
      <c r="E106" s="2" t="s">
        <v>12</v>
      </c>
      <c r="F106" s="2" t="s">
        <v>12</v>
      </c>
      <c r="G106" s="2" t="s">
        <v>12</v>
      </c>
      <c r="H106" s="2" t="s">
        <v>12</v>
      </c>
      <c r="I106" s="5">
        <f>SUM(I103:I103)+I104+I105</f>
        <v>0</v>
      </c>
      <c r="J106" s="5">
        <f>SUM(J103:J103)</f>
        <v>0</v>
      </c>
      <c r="K106" s="5">
        <f>SUM(K103:K103)</f>
        <v>0</v>
      </c>
    </row>
    <row r="107" spans="1:12" x14ac:dyDescent="0.2">
      <c r="L107" s="124" t="s">
        <v>533</v>
      </c>
    </row>
    <row r="108" spans="1:12" ht="12.75" hidden="1" customHeight="1" x14ac:dyDescent="0.2">
      <c r="A108" s="3" t="s">
        <v>345</v>
      </c>
    </row>
    <row r="109" spans="1:12" ht="12.75" hidden="1" customHeight="1" x14ac:dyDescent="0.2">
      <c r="A109" s="354" t="s">
        <v>219</v>
      </c>
      <c r="B109" s="354" t="s">
        <v>1</v>
      </c>
      <c r="C109" s="367" t="s">
        <v>315</v>
      </c>
      <c r="D109" s="368"/>
      <c r="E109" s="369"/>
      <c r="F109" s="367" t="s">
        <v>316</v>
      </c>
      <c r="G109" s="368"/>
      <c r="H109" s="369"/>
      <c r="I109" s="367" t="s">
        <v>117</v>
      </c>
      <c r="J109" s="368"/>
      <c r="K109" s="369"/>
    </row>
    <row r="110" spans="1:12" ht="12.75" hidden="1" customHeight="1" x14ac:dyDescent="0.2">
      <c r="A110" s="355"/>
      <c r="B110" s="355"/>
      <c r="C110" s="152" t="s">
        <v>364</v>
      </c>
      <c r="D110" s="152" t="s">
        <v>365</v>
      </c>
      <c r="E110" s="152" t="s">
        <v>519</v>
      </c>
      <c r="F110" s="152" t="s">
        <v>364</v>
      </c>
      <c r="G110" s="152" t="s">
        <v>365</v>
      </c>
      <c r="H110" s="152" t="s">
        <v>519</v>
      </c>
      <c r="I110" s="152" t="s">
        <v>364</v>
      </c>
      <c r="J110" s="152" t="s">
        <v>365</v>
      </c>
      <c r="K110" s="152" t="s">
        <v>519</v>
      </c>
    </row>
    <row r="111" spans="1:12" ht="38.25" hidden="1" customHeight="1" x14ac:dyDescent="0.2">
      <c r="A111" s="356"/>
      <c r="B111" s="356"/>
      <c r="C111" s="149" t="s">
        <v>79</v>
      </c>
      <c r="D111" s="149" t="s">
        <v>80</v>
      </c>
      <c r="E111" s="149" t="s">
        <v>81</v>
      </c>
      <c r="F111" s="149" t="s">
        <v>79</v>
      </c>
      <c r="G111" s="149" t="s">
        <v>80</v>
      </c>
      <c r="H111" s="149" t="s">
        <v>81</v>
      </c>
      <c r="I111" s="149" t="s">
        <v>79</v>
      </c>
      <c r="J111" s="149" t="s">
        <v>80</v>
      </c>
      <c r="K111" s="149" t="s">
        <v>81</v>
      </c>
    </row>
    <row r="112" spans="1:12" ht="12.75" hidden="1" customHeight="1" x14ac:dyDescent="0.2">
      <c r="A112" s="149">
        <v>1</v>
      </c>
      <c r="B112" s="149">
        <v>2</v>
      </c>
      <c r="C112" s="149">
        <v>3</v>
      </c>
      <c r="D112" s="149">
        <v>4</v>
      </c>
      <c r="E112" s="149">
        <v>5</v>
      </c>
      <c r="F112" s="149">
        <v>6</v>
      </c>
      <c r="G112" s="149">
        <v>7</v>
      </c>
      <c r="H112" s="149">
        <v>8</v>
      </c>
      <c r="I112" s="149">
        <v>9</v>
      </c>
      <c r="J112" s="149">
        <v>10</v>
      </c>
      <c r="K112" s="149">
        <v>11</v>
      </c>
    </row>
    <row r="113" spans="1:11" ht="12.75" hidden="1" customHeight="1" x14ac:dyDescent="0.2">
      <c r="A113" s="150" t="s">
        <v>347</v>
      </c>
      <c r="B113" s="149">
        <v>1</v>
      </c>
      <c r="C113" s="150">
        <v>60</v>
      </c>
      <c r="D113" s="150">
        <v>30</v>
      </c>
      <c r="E113" s="150">
        <v>30</v>
      </c>
      <c r="F113" s="153">
        <v>2448.46</v>
      </c>
      <c r="G113" s="153">
        <v>1458.37</v>
      </c>
      <c r="H113" s="153">
        <v>1458.37</v>
      </c>
      <c r="I113" s="153"/>
      <c r="J113" s="153"/>
      <c r="K113" s="153"/>
    </row>
    <row r="114" spans="1:11" ht="12.75" hidden="1" customHeight="1" x14ac:dyDescent="0.2">
      <c r="A114" s="90" t="s">
        <v>491</v>
      </c>
      <c r="B114" s="149">
        <v>3</v>
      </c>
      <c r="C114" s="150">
        <v>36</v>
      </c>
      <c r="D114" s="150">
        <v>0</v>
      </c>
      <c r="E114" s="150">
        <v>0</v>
      </c>
      <c r="F114" s="153">
        <f>I114/C114</f>
        <v>0</v>
      </c>
      <c r="G114" s="153">
        <v>0</v>
      </c>
      <c r="H114" s="153">
        <v>0</v>
      </c>
      <c r="I114" s="153"/>
      <c r="J114" s="153">
        <v>0</v>
      </c>
      <c r="K114" s="153">
        <v>0</v>
      </c>
    </row>
    <row r="115" spans="1:11" ht="25.5" hidden="1" customHeight="1" x14ac:dyDescent="0.2">
      <c r="A115" s="90" t="s">
        <v>490</v>
      </c>
      <c r="B115" s="149">
        <v>3</v>
      </c>
      <c r="C115" s="150">
        <v>762</v>
      </c>
      <c r="D115" s="150">
        <v>792</v>
      </c>
      <c r="E115" s="150">
        <v>792</v>
      </c>
      <c r="F115" s="153">
        <v>77.460449999999994</v>
      </c>
      <c r="G115" s="153">
        <v>77.459999999999994</v>
      </c>
      <c r="H115" s="153">
        <v>77.459999999999994</v>
      </c>
      <c r="I115" s="153"/>
      <c r="J115" s="153"/>
      <c r="K115" s="153"/>
    </row>
    <row r="116" spans="1:11" hidden="1" x14ac:dyDescent="0.2">
      <c r="A116" s="6" t="s">
        <v>137</v>
      </c>
      <c r="B116" s="2">
        <v>9000</v>
      </c>
      <c r="C116" s="2" t="s">
        <v>12</v>
      </c>
      <c r="D116" s="2" t="s">
        <v>12</v>
      </c>
      <c r="E116" s="2" t="s">
        <v>12</v>
      </c>
      <c r="F116" s="2" t="s">
        <v>12</v>
      </c>
      <c r="G116" s="2" t="s">
        <v>12</v>
      </c>
      <c r="H116" s="2" t="s">
        <v>12</v>
      </c>
      <c r="I116" s="43">
        <f>SUM(I113:I115)</f>
        <v>0</v>
      </c>
      <c r="J116" s="43">
        <f>SUM(J113:J115)</f>
        <v>0</v>
      </c>
      <c r="K116" s="43">
        <f>SUM(K113:K115)</f>
        <v>0</v>
      </c>
    </row>
    <row r="117" spans="1:11" hidden="1" x14ac:dyDescent="0.2"/>
    <row r="118" spans="1:11" hidden="1" x14ac:dyDescent="0.2">
      <c r="A118" s="3" t="s">
        <v>350</v>
      </c>
    </row>
    <row r="119" spans="1:11" hidden="1" x14ac:dyDescent="0.2">
      <c r="A119" s="335" t="s">
        <v>219</v>
      </c>
      <c r="B119" s="335" t="s">
        <v>1</v>
      </c>
      <c r="C119" s="335" t="s">
        <v>315</v>
      </c>
      <c r="D119" s="335"/>
      <c r="E119" s="335"/>
      <c r="F119" s="335" t="s">
        <v>316</v>
      </c>
      <c r="G119" s="335"/>
      <c r="H119" s="335"/>
      <c r="I119" s="335" t="s">
        <v>117</v>
      </c>
      <c r="J119" s="335"/>
      <c r="K119" s="335"/>
    </row>
    <row r="120" spans="1:11" hidden="1" x14ac:dyDescent="0.2">
      <c r="A120" s="335"/>
      <c r="B120" s="335"/>
      <c r="C120" s="2" t="s">
        <v>4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</row>
    <row r="121" spans="1:11" ht="38.25" hidden="1" x14ac:dyDescent="0.2">
      <c r="A121" s="335"/>
      <c r="B121" s="335"/>
      <c r="C121" s="2" t="s">
        <v>79</v>
      </c>
      <c r="D121" s="2" t="s">
        <v>80</v>
      </c>
      <c r="E121" s="2" t="s">
        <v>81</v>
      </c>
      <c r="F121" s="2" t="s">
        <v>79</v>
      </c>
      <c r="G121" s="2" t="s">
        <v>80</v>
      </c>
      <c r="H121" s="2" t="s">
        <v>81</v>
      </c>
      <c r="I121" s="2" t="s">
        <v>79</v>
      </c>
      <c r="J121" s="2" t="s">
        <v>80</v>
      </c>
      <c r="K121" s="2" t="s">
        <v>81</v>
      </c>
    </row>
    <row r="122" spans="1:11" hidden="1" x14ac:dyDescent="0.2">
      <c r="A122" s="2">
        <v>1</v>
      </c>
      <c r="B122" s="2">
        <v>2</v>
      </c>
      <c r="C122" s="2">
        <v>3</v>
      </c>
      <c r="D122" s="2">
        <v>4</v>
      </c>
      <c r="E122" s="2">
        <v>5</v>
      </c>
      <c r="F122" s="2">
        <v>6</v>
      </c>
      <c r="G122" s="2">
        <v>7</v>
      </c>
      <c r="H122" s="2">
        <v>8</v>
      </c>
      <c r="I122" s="2">
        <v>9</v>
      </c>
      <c r="J122" s="2">
        <v>10</v>
      </c>
      <c r="K122" s="2">
        <v>11</v>
      </c>
    </row>
    <row r="123" spans="1:11" ht="25.5" hidden="1" x14ac:dyDescent="0.2">
      <c r="A123" s="2" t="s">
        <v>351</v>
      </c>
      <c r="B123" s="2">
        <v>1</v>
      </c>
      <c r="C123" s="28">
        <v>10</v>
      </c>
      <c r="D123" s="2"/>
      <c r="E123" s="2"/>
      <c r="F123" s="28"/>
      <c r="G123" s="2"/>
      <c r="H123" s="2"/>
      <c r="I123" s="5">
        <f>C123*F123</f>
        <v>0</v>
      </c>
      <c r="J123" s="2"/>
      <c r="K123" s="2"/>
    </row>
    <row r="124" spans="1:11" hidden="1" x14ac:dyDescent="0.2">
      <c r="A124" s="142" t="s">
        <v>347</v>
      </c>
      <c r="B124" s="140">
        <v>2</v>
      </c>
      <c r="C124" s="142">
        <v>105</v>
      </c>
      <c r="D124" s="142"/>
      <c r="E124" s="142"/>
      <c r="F124" s="143"/>
      <c r="G124" s="143"/>
      <c r="H124" s="143"/>
      <c r="I124" s="143">
        <f>C124*F124</f>
        <v>0</v>
      </c>
      <c r="J124" s="143"/>
      <c r="K124" s="143"/>
    </row>
    <row r="125" spans="1:11" x14ac:dyDescent="0.2">
      <c r="A125" s="3" t="s">
        <v>345</v>
      </c>
    </row>
    <row r="126" spans="1:11" ht="12.75" customHeight="1" x14ac:dyDescent="0.2">
      <c r="A126" s="335" t="s">
        <v>219</v>
      </c>
      <c r="B126" s="335" t="s">
        <v>1</v>
      </c>
      <c r="C126" s="335" t="s">
        <v>315</v>
      </c>
      <c r="D126" s="335"/>
      <c r="E126" s="335"/>
      <c r="F126" s="335" t="s">
        <v>316</v>
      </c>
      <c r="G126" s="335"/>
      <c r="H126" s="335"/>
      <c r="I126" s="335" t="s">
        <v>117</v>
      </c>
      <c r="J126" s="335"/>
      <c r="K126" s="335"/>
    </row>
    <row r="127" spans="1:11" x14ac:dyDescent="0.2">
      <c r="A127" s="335"/>
      <c r="B127" s="335"/>
      <c r="C127" s="290" t="s">
        <v>582</v>
      </c>
      <c r="D127" s="290" t="s">
        <v>614</v>
      </c>
      <c r="E127" s="290" t="s">
        <v>694</v>
      </c>
      <c r="F127" s="290" t="s">
        <v>582</v>
      </c>
      <c r="G127" s="290" t="s">
        <v>614</v>
      </c>
      <c r="H127" s="290" t="s">
        <v>694</v>
      </c>
      <c r="I127" s="290" t="s">
        <v>582</v>
      </c>
      <c r="J127" s="290" t="s">
        <v>614</v>
      </c>
      <c r="K127" s="290" t="s">
        <v>694</v>
      </c>
    </row>
    <row r="128" spans="1:11" ht="38.25" x14ac:dyDescent="0.2">
      <c r="A128" s="335"/>
      <c r="B128" s="335"/>
      <c r="C128" s="149" t="s">
        <v>79</v>
      </c>
      <c r="D128" s="149" t="s">
        <v>80</v>
      </c>
      <c r="E128" s="149" t="s">
        <v>81</v>
      </c>
      <c r="F128" s="149" t="s">
        <v>79</v>
      </c>
      <c r="G128" s="149" t="s">
        <v>80</v>
      </c>
      <c r="H128" s="149" t="s">
        <v>81</v>
      </c>
      <c r="I128" s="149" t="s">
        <v>79</v>
      </c>
      <c r="J128" s="149" t="s">
        <v>80</v>
      </c>
      <c r="K128" s="149" t="s">
        <v>81</v>
      </c>
    </row>
    <row r="129" spans="1:12" x14ac:dyDescent="0.2">
      <c r="A129" s="149">
        <v>1</v>
      </c>
      <c r="B129" s="149">
        <v>2</v>
      </c>
      <c r="C129" s="149">
        <v>3</v>
      </c>
      <c r="D129" s="149">
        <v>4</v>
      </c>
      <c r="E129" s="149">
        <v>5</v>
      </c>
      <c r="F129" s="149">
        <v>6</v>
      </c>
      <c r="G129" s="149">
        <v>7</v>
      </c>
      <c r="H129" s="149">
        <v>8</v>
      </c>
      <c r="I129" s="149">
        <v>9</v>
      </c>
      <c r="J129" s="149">
        <v>10</v>
      </c>
      <c r="K129" s="149">
        <v>11</v>
      </c>
    </row>
    <row r="130" spans="1:12" x14ac:dyDescent="0.2">
      <c r="A130" s="90" t="s">
        <v>544</v>
      </c>
      <c r="B130" s="149">
        <v>1</v>
      </c>
      <c r="C130" s="150">
        <v>13</v>
      </c>
      <c r="D130" s="150">
        <v>0</v>
      </c>
      <c r="E130" s="150">
        <v>0</v>
      </c>
      <c r="F130" s="153">
        <f>I130/C130</f>
        <v>10268.072307692308</v>
      </c>
      <c r="G130" s="153">
        <v>0</v>
      </c>
      <c r="H130" s="153">
        <v>0</v>
      </c>
      <c r="I130" s="153">
        <v>133484.94</v>
      </c>
      <c r="J130" s="153">
        <v>0</v>
      </c>
      <c r="K130" s="153">
        <v>0</v>
      </c>
    </row>
    <row r="131" spans="1:12" x14ac:dyDescent="0.2">
      <c r="A131" s="150" t="s">
        <v>137</v>
      </c>
      <c r="B131" s="149">
        <v>9000</v>
      </c>
      <c r="C131" s="149" t="s">
        <v>12</v>
      </c>
      <c r="D131" s="149" t="s">
        <v>12</v>
      </c>
      <c r="E131" s="149" t="s">
        <v>12</v>
      </c>
      <c r="F131" s="149" t="s">
        <v>12</v>
      </c>
      <c r="G131" s="149" t="s">
        <v>12</v>
      </c>
      <c r="H131" s="149" t="s">
        <v>12</v>
      </c>
      <c r="I131" s="151">
        <f>SUM(I130:I130)</f>
        <v>133484.94</v>
      </c>
      <c r="J131" s="151">
        <f>SUM(J130:J130)</f>
        <v>0</v>
      </c>
      <c r="K131" s="151">
        <f>SUM(K130:K130)</f>
        <v>0</v>
      </c>
    </row>
    <row r="132" spans="1:12" x14ac:dyDescent="0.2">
      <c r="A132" s="53"/>
      <c r="B132" s="49"/>
      <c r="C132" s="53"/>
      <c r="D132" s="53"/>
      <c r="E132" s="53"/>
      <c r="F132" s="54"/>
      <c r="G132" s="54"/>
      <c r="H132" s="54"/>
      <c r="I132" s="54"/>
      <c r="J132" s="54"/>
      <c r="K132" s="54"/>
    </row>
    <row r="133" spans="1:12" x14ac:dyDescent="0.2">
      <c r="A133" s="53"/>
      <c r="B133" s="49"/>
      <c r="C133" s="53"/>
      <c r="D133" s="53"/>
      <c r="E133" s="53"/>
      <c r="F133" s="54"/>
      <c r="G133" s="54"/>
      <c r="H133" s="54"/>
      <c r="I133" s="54"/>
      <c r="J133" s="54"/>
      <c r="K133" s="54"/>
    </row>
    <row r="134" spans="1:12" x14ac:dyDescent="0.2">
      <c r="A134" s="3" t="s">
        <v>595</v>
      </c>
      <c r="L134" s="124" t="s">
        <v>534</v>
      </c>
    </row>
    <row r="135" spans="1:12" ht="12.75" customHeight="1" x14ac:dyDescent="0.2">
      <c r="A135" s="354" t="s">
        <v>219</v>
      </c>
      <c r="B135" s="354" t="s">
        <v>1</v>
      </c>
      <c r="C135" s="367" t="s">
        <v>315</v>
      </c>
      <c r="D135" s="368"/>
      <c r="E135" s="369"/>
      <c r="F135" s="367" t="s">
        <v>316</v>
      </c>
      <c r="G135" s="368"/>
      <c r="H135" s="369"/>
      <c r="I135" s="367" t="s">
        <v>117</v>
      </c>
      <c r="J135" s="368"/>
      <c r="K135" s="369"/>
    </row>
    <row r="136" spans="1:12" x14ac:dyDescent="0.2">
      <c r="A136" s="355"/>
      <c r="B136" s="355"/>
      <c r="C136" s="290" t="s">
        <v>582</v>
      </c>
      <c r="D136" s="290" t="s">
        <v>614</v>
      </c>
      <c r="E136" s="290" t="s">
        <v>694</v>
      </c>
      <c r="F136" s="290" t="s">
        <v>582</v>
      </c>
      <c r="G136" s="290" t="s">
        <v>614</v>
      </c>
      <c r="H136" s="290" t="s">
        <v>694</v>
      </c>
      <c r="I136" s="290" t="s">
        <v>582</v>
      </c>
      <c r="J136" s="290" t="s">
        <v>614</v>
      </c>
      <c r="K136" s="290" t="s">
        <v>694</v>
      </c>
    </row>
    <row r="137" spans="1:12" ht="38.25" x14ac:dyDescent="0.2">
      <c r="A137" s="356"/>
      <c r="B137" s="356"/>
      <c r="C137" s="2" t="s">
        <v>79</v>
      </c>
      <c r="D137" s="2" t="s">
        <v>80</v>
      </c>
      <c r="E137" s="2" t="s">
        <v>81</v>
      </c>
      <c r="F137" s="2" t="s">
        <v>79</v>
      </c>
      <c r="G137" s="2" t="s">
        <v>80</v>
      </c>
      <c r="H137" s="2" t="s">
        <v>81</v>
      </c>
      <c r="I137" s="2" t="s">
        <v>79</v>
      </c>
      <c r="J137" s="2" t="s">
        <v>80</v>
      </c>
      <c r="K137" s="2" t="s">
        <v>81</v>
      </c>
    </row>
    <row r="138" spans="1:12" x14ac:dyDescent="0.2">
      <c r="A138" s="2">
        <v>1</v>
      </c>
      <c r="B138" s="2">
        <v>2</v>
      </c>
      <c r="C138" s="2">
        <v>3</v>
      </c>
      <c r="D138" s="2">
        <v>4</v>
      </c>
      <c r="E138" s="2">
        <v>5</v>
      </c>
      <c r="F138" s="2">
        <v>6</v>
      </c>
      <c r="G138" s="2">
        <v>7</v>
      </c>
      <c r="H138" s="2">
        <v>8</v>
      </c>
      <c r="I138" s="2">
        <v>9</v>
      </c>
      <c r="J138" s="2">
        <v>10</v>
      </c>
      <c r="K138" s="2">
        <v>11</v>
      </c>
    </row>
    <row r="139" spans="1:12" ht="38.25" hidden="1" x14ac:dyDescent="0.2">
      <c r="A139" s="6" t="s">
        <v>458</v>
      </c>
      <c r="B139" s="2">
        <v>1</v>
      </c>
      <c r="C139" s="6">
        <v>6</v>
      </c>
      <c r="D139" s="6">
        <v>0</v>
      </c>
      <c r="E139" s="6">
        <v>0</v>
      </c>
      <c r="F139" s="5">
        <v>367.03</v>
      </c>
      <c r="G139" s="5">
        <v>0</v>
      </c>
      <c r="H139" s="5">
        <v>0</v>
      </c>
      <c r="I139" s="5"/>
      <c r="J139" s="5">
        <v>0</v>
      </c>
      <c r="K139" s="5">
        <v>0</v>
      </c>
    </row>
    <row r="140" spans="1:12" hidden="1" x14ac:dyDescent="0.2">
      <c r="A140" s="6" t="s">
        <v>342</v>
      </c>
      <c r="B140" s="2">
        <v>2</v>
      </c>
      <c r="C140" s="6">
        <v>762</v>
      </c>
      <c r="D140" s="6"/>
      <c r="E140" s="6"/>
      <c r="F140" s="5"/>
      <c r="G140" s="5"/>
      <c r="H140" s="5"/>
      <c r="I140" s="5"/>
      <c r="J140" s="5"/>
      <c r="K140" s="5"/>
    </row>
    <row r="141" spans="1:12" ht="25.5" hidden="1" x14ac:dyDescent="0.2">
      <c r="A141" s="6" t="s">
        <v>457</v>
      </c>
      <c r="B141" s="2">
        <v>2</v>
      </c>
      <c r="C141" s="6">
        <v>15</v>
      </c>
      <c r="D141" s="6">
        <v>0</v>
      </c>
      <c r="E141" s="6">
        <v>0</v>
      </c>
      <c r="F141" s="5">
        <v>833</v>
      </c>
      <c r="G141" s="5">
        <v>0</v>
      </c>
      <c r="H141" s="5">
        <v>0</v>
      </c>
      <c r="I141" s="5"/>
      <c r="J141" s="5">
        <v>0</v>
      </c>
      <c r="K141" s="5">
        <v>0</v>
      </c>
    </row>
    <row r="142" spans="1:12" hidden="1" x14ac:dyDescent="0.2">
      <c r="A142" s="6" t="s">
        <v>342</v>
      </c>
      <c r="B142" s="2">
        <v>2</v>
      </c>
      <c r="C142" s="6">
        <v>762</v>
      </c>
      <c r="D142" s="6"/>
      <c r="E142" s="6"/>
      <c r="F142" s="5"/>
      <c r="G142" s="5"/>
      <c r="H142" s="5"/>
      <c r="I142" s="5"/>
      <c r="J142" s="5"/>
      <c r="K142" s="5"/>
    </row>
    <row r="143" spans="1:12" ht="25.5" hidden="1" x14ac:dyDescent="0.2">
      <c r="A143" s="6" t="s">
        <v>462</v>
      </c>
      <c r="B143" s="2">
        <v>1</v>
      </c>
      <c r="C143" s="6">
        <v>26</v>
      </c>
      <c r="D143" s="6">
        <v>0</v>
      </c>
      <c r="E143" s="6">
        <v>0</v>
      </c>
      <c r="F143" s="5">
        <f>I143/C143</f>
        <v>0</v>
      </c>
      <c r="G143" s="5">
        <v>0</v>
      </c>
      <c r="H143" s="5">
        <v>0</v>
      </c>
      <c r="I143" s="5"/>
      <c r="J143" s="5">
        <v>0</v>
      </c>
      <c r="K143" s="5">
        <v>0</v>
      </c>
    </row>
    <row r="144" spans="1:12" x14ac:dyDescent="0.2">
      <c r="A144" s="90" t="s">
        <v>596</v>
      </c>
      <c r="B144" s="138">
        <v>1</v>
      </c>
      <c r="C144" s="139">
        <v>9</v>
      </c>
      <c r="D144" s="139">
        <v>0</v>
      </c>
      <c r="E144" s="139">
        <v>0</v>
      </c>
      <c r="F144" s="141">
        <f>I144/C144</f>
        <v>1481.7122222222222</v>
      </c>
      <c r="G144" s="141">
        <v>0</v>
      </c>
      <c r="H144" s="141">
        <v>0</v>
      </c>
      <c r="I144" s="141">
        <v>13335.41</v>
      </c>
      <c r="J144" s="141">
        <v>0</v>
      </c>
      <c r="K144" s="141">
        <v>0</v>
      </c>
    </row>
    <row r="145" spans="1:13" x14ac:dyDescent="0.2">
      <c r="A145" s="6" t="s">
        <v>137</v>
      </c>
      <c r="B145" s="2">
        <v>9000</v>
      </c>
      <c r="C145" s="2" t="s">
        <v>12</v>
      </c>
      <c r="D145" s="2"/>
      <c r="E145" s="2" t="s">
        <v>12</v>
      </c>
      <c r="F145" s="2" t="s">
        <v>12</v>
      </c>
      <c r="G145" s="2" t="s">
        <v>12</v>
      </c>
      <c r="H145" s="2" t="s">
        <v>12</v>
      </c>
      <c r="I145" s="5">
        <f>I139+I141+I143+I144</f>
        <v>13335.41</v>
      </c>
      <c r="J145" s="5">
        <f>SUM(J141:J144)</f>
        <v>0</v>
      </c>
      <c r="K145" s="5">
        <f>SUM(K141:K144)</f>
        <v>0</v>
      </c>
    </row>
    <row r="146" spans="1:13" x14ac:dyDescent="0.2">
      <c r="L146" s="124" t="s">
        <v>620</v>
      </c>
      <c r="M146" s="124"/>
    </row>
    <row r="147" spans="1:13" hidden="1" x14ac:dyDescent="0.2">
      <c r="A147" s="73" t="s">
        <v>483</v>
      </c>
    </row>
    <row r="148" spans="1:13" hidden="1" x14ac:dyDescent="0.2">
      <c r="A148" s="335" t="s">
        <v>219</v>
      </c>
      <c r="B148" s="335" t="s">
        <v>1</v>
      </c>
      <c r="C148" s="335" t="s">
        <v>312</v>
      </c>
      <c r="D148" s="335"/>
      <c r="E148" s="335"/>
      <c r="F148" s="335" t="s">
        <v>313</v>
      </c>
      <c r="G148" s="335"/>
      <c r="H148" s="335"/>
    </row>
    <row r="149" spans="1:13" hidden="1" x14ac:dyDescent="0.2">
      <c r="A149" s="335"/>
      <c r="B149" s="335"/>
      <c r="C149" s="136" t="s">
        <v>364</v>
      </c>
      <c r="D149" s="136" t="s">
        <v>365</v>
      </c>
      <c r="E149" s="136" t="s">
        <v>519</v>
      </c>
      <c r="F149" s="136" t="s">
        <v>364</v>
      </c>
      <c r="G149" s="136" t="s">
        <v>365</v>
      </c>
      <c r="H149" s="136" t="s">
        <v>519</v>
      </c>
    </row>
    <row r="150" spans="1:13" ht="38.25" hidden="1" x14ac:dyDescent="0.2">
      <c r="A150" s="335"/>
      <c r="B150" s="335"/>
      <c r="C150" s="95" t="s">
        <v>79</v>
      </c>
      <c r="D150" s="95" t="s">
        <v>80</v>
      </c>
      <c r="E150" s="95" t="s">
        <v>81</v>
      </c>
      <c r="F150" s="95" t="s">
        <v>79</v>
      </c>
      <c r="G150" s="95" t="s">
        <v>80</v>
      </c>
      <c r="H150" s="95" t="s">
        <v>81</v>
      </c>
    </row>
    <row r="151" spans="1:13" hidden="1" x14ac:dyDescent="0.2">
      <c r="A151" s="95">
        <v>1</v>
      </c>
      <c r="B151" s="95">
        <v>2</v>
      </c>
      <c r="C151" s="95">
        <v>3</v>
      </c>
      <c r="D151" s="95">
        <v>4</v>
      </c>
      <c r="E151" s="95">
        <v>5</v>
      </c>
      <c r="F151" s="95">
        <v>9</v>
      </c>
      <c r="G151" s="95">
        <v>10</v>
      </c>
      <c r="H151" s="95">
        <v>11</v>
      </c>
    </row>
    <row r="152" spans="1:13" ht="38.25" hidden="1" x14ac:dyDescent="0.2">
      <c r="A152" s="90" t="s">
        <v>489</v>
      </c>
      <c r="B152" s="95">
        <v>1</v>
      </c>
      <c r="C152" s="96">
        <v>3</v>
      </c>
      <c r="D152" s="96">
        <v>0</v>
      </c>
      <c r="E152" s="96">
        <v>0</v>
      </c>
      <c r="F152" s="97"/>
      <c r="G152" s="97">
        <v>0</v>
      </c>
      <c r="H152" s="97">
        <v>0</v>
      </c>
    </row>
    <row r="153" spans="1:13" ht="25.5" hidden="1" x14ac:dyDescent="0.2">
      <c r="A153" s="90" t="s">
        <v>488</v>
      </c>
      <c r="B153" s="100">
        <v>2</v>
      </c>
      <c r="C153" s="101">
        <v>3</v>
      </c>
      <c r="D153" s="101">
        <v>0</v>
      </c>
      <c r="E153" s="101">
        <v>0</v>
      </c>
      <c r="F153" s="102"/>
      <c r="G153" s="102"/>
      <c r="H153" s="102"/>
    </row>
    <row r="154" spans="1:13" hidden="1" x14ac:dyDescent="0.2">
      <c r="A154" s="96" t="s">
        <v>137</v>
      </c>
      <c r="B154" s="95">
        <v>9000</v>
      </c>
      <c r="C154" s="95" t="s">
        <v>12</v>
      </c>
      <c r="D154" s="95" t="s">
        <v>12</v>
      </c>
      <c r="E154" s="95" t="s">
        <v>12</v>
      </c>
      <c r="F154" s="97">
        <f>F152+F153</f>
        <v>0</v>
      </c>
      <c r="G154" s="97">
        <f>SUM(G152:G152)</f>
        <v>0</v>
      </c>
      <c r="H154" s="97">
        <f>SUM(H152:H152)</f>
        <v>0</v>
      </c>
    </row>
    <row r="155" spans="1:13" hidden="1" x14ac:dyDescent="0.2">
      <c r="A155" s="3" t="s">
        <v>345</v>
      </c>
      <c r="L155" s="47"/>
      <c r="M155" s="47"/>
    </row>
    <row r="156" spans="1:13" hidden="1" x14ac:dyDescent="0.2">
      <c r="A156" s="335" t="s">
        <v>219</v>
      </c>
      <c r="B156" s="335" t="s">
        <v>1</v>
      </c>
      <c r="C156" s="335" t="s">
        <v>315</v>
      </c>
      <c r="D156" s="335"/>
      <c r="E156" s="335"/>
      <c r="F156" s="335" t="s">
        <v>316</v>
      </c>
      <c r="G156" s="335"/>
      <c r="H156" s="335"/>
      <c r="I156" s="335" t="s">
        <v>117</v>
      </c>
      <c r="J156" s="335"/>
      <c r="K156" s="335"/>
    </row>
    <row r="157" spans="1:13" hidden="1" x14ac:dyDescent="0.2">
      <c r="A157" s="335"/>
      <c r="B157" s="335"/>
      <c r="C157" s="248" t="s">
        <v>519</v>
      </c>
      <c r="D157" s="248" t="s">
        <v>582</v>
      </c>
      <c r="E157" s="248" t="s">
        <v>614</v>
      </c>
      <c r="F157" s="248" t="s">
        <v>519</v>
      </c>
      <c r="G157" s="248" t="s">
        <v>582</v>
      </c>
      <c r="H157" s="248" t="s">
        <v>614</v>
      </c>
      <c r="I157" s="248" t="s">
        <v>519</v>
      </c>
      <c r="J157" s="248" t="s">
        <v>582</v>
      </c>
      <c r="K157" s="248" t="s">
        <v>614</v>
      </c>
    </row>
    <row r="158" spans="1:13" ht="38.25" hidden="1" x14ac:dyDescent="0.2">
      <c r="A158" s="335"/>
      <c r="B158" s="335"/>
      <c r="C158" s="218" t="s">
        <v>79</v>
      </c>
      <c r="D158" s="218" t="s">
        <v>80</v>
      </c>
      <c r="E158" s="218" t="s">
        <v>81</v>
      </c>
      <c r="F158" s="218" t="s">
        <v>79</v>
      </c>
      <c r="G158" s="218" t="s">
        <v>80</v>
      </c>
      <c r="H158" s="218" t="s">
        <v>81</v>
      </c>
      <c r="I158" s="218" t="s">
        <v>79</v>
      </c>
      <c r="J158" s="218" t="s">
        <v>80</v>
      </c>
      <c r="K158" s="218" t="s">
        <v>81</v>
      </c>
    </row>
    <row r="159" spans="1:13" hidden="1" x14ac:dyDescent="0.2">
      <c r="A159" s="218">
        <v>1</v>
      </c>
      <c r="B159" s="218">
        <v>2</v>
      </c>
      <c r="C159" s="218">
        <v>3</v>
      </c>
      <c r="D159" s="218">
        <v>4</v>
      </c>
      <c r="E159" s="218">
        <v>5</v>
      </c>
      <c r="F159" s="218">
        <v>6</v>
      </c>
      <c r="G159" s="218">
        <v>7</v>
      </c>
      <c r="H159" s="218">
        <v>8</v>
      </c>
      <c r="I159" s="218">
        <v>9</v>
      </c>
      <c r="J159" s="218">
        <v>10</v>
      </c>
      <c r="K159" s="218">
        <v>11</v>
      </c>
    </row>
    <row r="160" spans="1:13" hidden="1" x14ac:dyDescent="0.2">
      <c r="A160" s="90" t="s">
        <v>544</v>
      </c>
      <c r="B160" s="218">
        <v>1</v>
      </c>
      <c r="C160" s="219">
        <v>3</v>
      </c>
      <c r="D160" s="219">
        <v>0</v>
      </c>
      <c r="E160" s="219">
        <v>0</v>
      </c>
      <c r="F160" s="221">
        <f>I160/C160</f>
        <v>0</v>
      </c>
      <c r="G160" s="221">
        <v>0</v>
      </c>
      <c r="H160" s="221">
        <v>0</v>
      </c>
      <c r="I160" s="221"/>
      <c r="J160" s="221">
        <v>0</v>
      </c>
      <c r="K160" s="221">
        <v>0</v>
      </c>
    </row>
    <row r="161" spans="1:11" hidden="1" x14ac:dyDescent="0.2">
      <c r="A161" s="90"/>
      <c r="B161" s="218">
        <v>2</v>
      </c>
      <c r="C161" s="219">
        <v>0</v>
      </c>
      <c r="D161" s="219">
        <v>0</v>
      </c>
      <c r="E161" s="219">
        <v>0</v>
      </c>
      <c r="F161" s="221">
        <v>0</v>
      </c>
      <c r="G161" s="221">
        <v>0</v>
      </c>
      <c r="H161" s="221">
        <v>0</v>
      </c>
      <c r="I161" s="221"/>
      <c r="J161" s="221">
        <v>0</v>
      </c>
      <c r="K161" s="221">
        <v>0</v>
      </c>
    </row>
    <row r="162" spans="1:11" hidden="1" x14ac:dyDescent="0.2">
      <c r="A162" s="90"/>
      <c r="B162" s="218">
        <v>3</v>
      </c>
      <c r="C162" s="219">
        <v>0</v>
      </c>
      <c r="D162" s="219">
        <v>0</v>
      </c>
      <c r="E162" s="219">
        <v>0</v>
      </c>
      <c r="F162" s="221">
        <v>0</v>
      </c>
      <c r="G162" s="221">
        <v>0</v>
      </c>
      <c r="H162" s="221">
        <v>0</v>
      </c>
      <c r="I162" s="221"/>
      <c r="J162" s="221">
        <v>0</v>
      </c>
      <c r="K162" s="221">
        <v>0</v>
      </c>
    </row>
    <row r="163" spans="1:11" hidden="1" x14ac:dyDescent="0.2">
      <c r="A163" s="219" t="s">
        <v>137</v>
      </c>
      <c r="B163" s="218">
        <v>9000</v>
      </c>
      <c r="C163" s="218" t="s">
        <v>12</v>
      </c>
      <c r="D163" s="218" t="s">
        <v>12</v>
      </c>
      <c r="E163" s="218" t="s">
        <v>12</v>
      </c>
      <c r="F163" s="218" t="s">
        <v>12</v>
      </c>
      <c r="G163" s="218" t="s">
        <v>12</v>
      </c>
      <c r="H163" s="218" t="s">
        <v>12</v>
      </c>
      <c r="I163" s="220">
        <f>SUM(I160:I162)</f>
        <v>0</v>
      </c>
      <c r="J163" s="220">
        <f>SUM(J160:J162)</f>
        <v>0</v>
      </c>
      <c r="K163" s="220">
        <f>SUM(K160:K162)</f>
        <v>0</v>
      </c>
    </row>
  </sheetData>
  <mergeCells count="74">
    <mergeCell ref="A109:A111"/>
    <mergeCell ref="B109:B111"/>
    <mergeCell ref="C109:E109"/>
    <mergeCell ref="F109:H109"/>
    <mergeCell ref="I119:K119"/>
    <mergeCell ref="A119:A121"/>
    <mergeCell ref="B119:B121"/>
    <mergeCell ref="C119:E119"/>
    <mergeCell ref="F119:H119"/>
    <mergeCell ref="I109:K109"/>
    <mergeCell ref="A99:A101"/>
    <mergeCell ref="B99:B101"/>
    <mergeCell ref="C99:E99"/>
    <mergeCell ref="F99:H99"/>
    <mergeCell ref="I99:K99"/>
    <mergeCell ref="I83:K83"/>
    <mergeCell ref="A65:A67"/>
    <mergeCell ref="B65:B67"/>
    <mergeCell ref="C65:E65"/>
    <mergeCell ref="F65:H65"/>
    <mergeCell ref="I65:K65"/>
    <mergeCell ref="A83:A85"/>
    <mergeCell ref="B83:B85"/>
    <mergeCell ref="C83:E83"/>
    <mergeCell ref="F83:H83"/>
    <mergeCell ref="A73:A75"/>
    <mergeCell ref="B73:B75"/>
    <mergeCell ref="C73:E73"/>
    <mergeCell ref="F73:H73"/>
    <mergeCell ref="I73:K73"/>
    <mergeCell ref="A24:A26"/>
    <mergeCell ref="B24:B26"/>
    <mergeCell ref="C24:E24"/>
    <mergeCell ref="F24:H24"/>
    <mergeCell ref="I24:K24"/>
    <mergeCell ref="A36:A38"/>
    <mergeCell ref="B36:B38"/>
    <mergeCell ref="C36:E36"/>
    <mergeCell ref="F36:H36"/>
    <mergeCell ref="I36:K36"/>
    <mergeCell ref="A57:A59"/>
    <mergeCell ref="B57:B59"/>
    <mergeCell ref="C57:E57"/>
    <mergeCell ref="F57:H57"/>
    <mergeCell ref="I57:K57"/>
    <mergeCell ref="I15:K15"/>
    <mergeCell ref="A4:A6"/>
    <mergeCell ref="B4:B6"/>
    <mergeCell ref="C4:E4"/>
    <mergeCell ref="F4:H4"/>
    <mergeCell ref="I4:K4"/>
    <mergeCell ref="A15:A17"/>
    <mergeCell ref="B15:B17"/>
    <mergeCell ref="C15:E15"/>
    <mergeCell ref="F15:H15"/>
    <mergeCell ref="I135:K135"/>
    <mergeCell ref="A148:A150"/>
    <mergeCell ref="B148:B150"/>
    <mergeCell ref="C148:E148"/>
    <mergeCell ref="F148:H148"/>
    <mergeCell ref="A135:A137"/>
    <mergeCell ref="B135:B137"/>
    <mergeCell ref="C135:E135"/>
    <mergeCell ref="F135:H135"/>
    <mergeCell ref="A126:A128"/>
    <mergeCell ref="B126:B128"/>
    <mergeCell ref="C126:E126"/>
    <mergeCell ref="F126:H126"/>
    <mergeCell ref="I126:K126"/>
    <mergeCell ref="A156:A158"/>
    <mergeCell ref="B156:B158"/>
    <mergeCell ref="C156:E156"/>
    <mergeCell ref="F156:H156"/>
    <mergeCell ref="I156:K156"/>
  </mergeCells>
  <phoneticPr fontId="12" type="noConversion"/>
  <pageMargins left="0.7" right="0.7" top="0.75" bottom="0.75" header="0.3" footer="0.3"/>
  <pageSetup paperSize="9" scale="79" orientation="landscape" r:id="rId1"/>
  <rowBreaks count="2" manualBreakCount="2">
    <brk id="42" max="10" man="1"/>
    <brk id="146" max="10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F28" sqref="F28"/>
    </sheetView>
  </sheetViews>
  <sheetFormatPr defaultRowHeight="12.75" x14ac:dyDescent="0.2"/>
  <cols>
    <col min="1" max="1" width="31.5703125" style="3" customWidth="1"/>
    <col min="2" max="2" width="9.140625" style="3"/>
    <col min="3" max="11" width="13.140625" style="3" customWidth="1"/>
    <col min="12" max="16384" width="9.140625" style="3"/>
  </cols>
  <sheetData>
    <row r="1" spans="1:11" x14ac:dyDescent="0.2">
      <c r="A1" s="3" t="s">
        <v>138</v>
      </c>
    </row>
    <row r="3" spans="1:11" x14ac:dyDescent="0.2">
      <c r="A3" s="335" t="s">
        <v>130</v>
      </c>
      <c r="B3" s="335" t="s">
        <v>1</v>
      </c>
      <c r="C3" s="335" t="s">
        <v>131</v>
      </c>
      <c r="D3" s="335"/>
      <c r="E3" s="335"/>
      <c r="F3" s="335" t="s">
        <v>132</v>
      </c>
      <c r="G3" s="335"/>
      <c r="H3" s="335"/>
      <c r="I3" s="335" t="s">
        <v>133</v>
      </c>
      <c r="J3" s="335"/>
      <c r="K3" s="335"/>
    </row>
    <row r="4" spans="1:11" x14ac:dyDescent="0.2">
      <c r="A4" s="335"/>
      <c r="B4" s="335"/>
      <c r="C4" s="6" t="s">
        <v>4</v>
      </c>
      <c r="D4" s="6" t="s">
        <v>4</v>
      </c>
      <c r="E4" s="6" t="s">
        <v>4</v>
      </c>
      <c r="F4" s="6" t="s">
        <v>4</v>
      </c>
      <c r="G4" s="6" t="s">
        <v>4</v>
      </c>
      <c r="H4" s="6" t="s">
        <v>4</v>
      </c>
      <c r="I4" s="6" t="s">
        <v>4</v>
      </c>
      <c r="J4" s="2" t="s">
        <v>4</v>
      </c>
      <c r="K4" s="2" t="s">
        <v>4</v>
      </c>
    </row>
    <row r="5" spans="1:11" ht="38.25" x14ac:dyDescent="0.2">
      <c r="A5" s="335"/>
      <c r="B5" s="335"/>
      <c r="C5" s="2" t="s">
        <v>79</v>
      </c>
      <c r="D5" s="2" t="s">
        <v>80</v>
      </c>
      <c r="E5" s="2" t="s">
        <v>81</v>
      </c>
      <c r="F5" s="2" t="s">
        <v>79</v>
      </c>
      <c r="G5" s="2" t="s">
        <v>80</v>
      </c>
      <c r="H5" s="2" t="s">
        <v>81</v>
      </c>
      <c r="I5" s="2" t="s">
        <v>79</v>
      </c>
      <c r="J5" s="2" t="s">
        <v>80</v>
      </c>
      <c r="K5" s="2" t="s">
        <v>81</v>
      </c>
    </row>
    <row r="6" spans="1:11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x14ac:dyDescent="0.2">
      <c r="A7" s="6" t="s">
        <v>134</v>
      </c>
      <c r="B7" s="2">
        <v>100</v>
      </c>
      <c r="C7" s="2" t="s">
        <v>12</v>
      </c>
      <c r="D7" s="2" t="s">
        <v>12</v>
      </c>
      <c r="E7" s="2" t="s">
        <v>12</v>
      </c>
      <c r="F7" s="2" t="s">
        <v>12</v>
      </c>
      <c r="G7" s="2" t="s">
        <v>12</v>
      </c>
      <c r="H7" s="2" t="s">
        <v>12</v>
      </c>
      <c r="I7" s="6"/>
      <c r="J7" s="6"/>
      <c r="K7" s="6"/>
    </row>
    <row r="8" spans="1:11" x14ac:dyDescent="0.2">
      <c r="A8" s="6" t="s">
        <v>135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2">
      <c r="A9" s="6"/>
      <c r="B9" s="2">
        <v>101</v>
      </c>
      <c r="C9" s="6"/>
      <c r="D9" s="6"/>
      <c r="E9" s="6"/>
      <c r="F9" s="6"/>
      <c r="G9" s="6"/>
      <c r="H9" s="6"/>
      <c r="I9" s="6"/>
      <c r="J9" s="6"/>
      <c r="K9" s="6"/>
    </row>
    <row r="10" spans="1:11" x14ac:dyDescent="0.2">
      <c r="A10" s="6" t="s">
        <v>136</v>
      </c>
      <c r="B10" s="2">
        <v>200</v>
      </c>
      <c r="C10" s="2" t="s">
        <v>12</v>
      </c>
      <c r="D10" s="2" t="s">
        <v>12</v>
      </c>
      <c r="E10" s="2" t="s">
        <v>12</v>
      </c>
      <c r="F10" s="2" t="s">
        <v>12</v>
      </c>
      <c r="G10" s="2" t="s">
        <v>12</v>
      </c>
      <c r="H10" s="2" t="s">
        <v>12</v>
      </c>
      <c r="I10" s="6"/>
      <c r="J10" s="6"/>
      <c r="K10" s="6"/>
    </row>
    <row r="11" spans="1:11" x14ac:dyDescent="0.2">
      <c r="A11" s="6" t="s">
        <v>135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2">
      <c r="A12" s="6"/>
      <c r="B12" s="2">
        <v>201</v>
      </c>
      <c r="C12" s="6"/>
      <c r="D12" s="6"/>
      <c r="E12" s="6"/>
      <c r="F12" s="6"/>
      <c r="G12" s="6"/>
      <c r="H12" s="6"/>
      <c r="I12" s="6"/>
      <c r="J12" s="6"/>
      <c r="K12" s="6"/>
    </row>
    <row r="13" spans="1:11" x14ac:dyDescent="0.2">
      <c r="A13" s="6" t="s">
        <v>137</v>
      </c>
      <c r="B13" s="2">
        <v>9000</v>
      </c>
      <c r="C13" s="2" t="s">
        <v>12</v>
      </c>
      <c r="D13" s="2" t="s">
        <v>12</v>
      </c>
      <c r="E13" s="2" t="s">
        <v>12</v>
      </c>
      <c r="F13" s="2" t="s">
        <v>12</v>
      </c>
      <c r="G13" s="2" t="s">
        <v>12</v>
      </c>
      <c r="H13" s="2" t="s">
        <v>12</v>
      </c>
      <c r="I13" s="6"/>
      <c r="J13" s="6"/>
      <c r="K13" s="6"/>
    </row>
  </sheetData>
  <mergeCells count="5">
    <mergeCell ref="I3:K3"/>
    <mergeCell ref="A3:A5"/>
    <mergeCell ref="B3:B5"/>
    <mergeCell ref="C3:E3"/>
    <mergeCell ref="F3:H3"/>
  </mergeCells>
  <phoneticPr fontId="12" type="noConversion"/>
  <pageMargins left="0.7" right="0.7" top="0.75" bottom="0.75" header="0.3" footer="0.3"/>
  <pageSetup paperSize="9" scale="8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H22" sqref="H22"/>
    </sheetView>
  </sheetViews>
  <sheetFormatPr defaultRowHeight="12.75" x14ac:dyDescent="0.2"/>
  <cols>
    <col min="1" max="1" width="21.140625" style="3" customWidth="1"/>
    <col min="2" max="2" width="9.140625" style="3"/>
    <col min="3" max="11" width="17.140625" style="3" customWidth="1"/>
    <col min="12" max="16384" width="9.140625" style="3"/>
  </cols>
  <sheetData>
    <row r="1" spans="1:11" x14ac:dyDescent="0.2">
      <c r="A1" s="3" t="s">
        <v>145</v>
      </c>
    </row>
    <row r="3" spans="1:11" ht="69" customHeight="1" x14ac:dyDescent="0.2">
      <c r="A3" s="335" t="s">
        <v>0</v>
      </c>
      <c r="B3" s="335" t="s">
        <v>1</v>
      </c>
      <c r="C3" s="335" t="s">
        <v>140</v>
      </c>
      <c r="D3" s="335"/>
      <c r="E3" s="335"/>
      <c r="F3" s="335" t="s">
        <v>141</v>
      </c>
      <c r="G3" s="335"/>
      <c r="H3" s="335"/>
      <c r="I3" s="335" t="s">
        <v>142</v>
      </c>
      <c r="J3" s="335"/>
      <c r="K3" s="335"/>
    </row>
    <row r="4" spans="1:11" x14ac:dyDescent="0.2">
      <c r="A4" s="335"/>
      <c r="B4" s="335"/>
      <c r="C4" s="2" t="s">
        <v>4</v>
      </c>
      <c r="D4" s="6" t="s">
        <v>4</v>
      </c>
      <c r="E4" s="6" t="s">
        <v>4</v>
      </c>
      <c r="F4" s="6" t="s">
        <v>4</v>
      </c>
      <c r="G4" s="6" t="s">
        <v>4</v>
      </c>
      <c r="H4" s="6" t="s">
        <v>4</v>
      </c>
      <c r="I4" s="2" t="s">
        <v>4</v>
      </c>
      <c r="J4" s="2" t="s">
        <v>4</v>
      </c>
      <c r="K4" s="2" t="s">
        <v>4</v>
      </c>
    </row>
    <row r="5" spans="1:11" ht="25.5" x14ac:dyDescent="0.2">
      <c r="A5" s="335"/>
      <c r="B5" s="335"/>
      <c r="C5" s="2" t="s">
        <v>79</v>
      </c>
      <c r="D5" s="2" t="s">
        <v>80</v>
      </c>
      <c r="E5" s="2" t="s">
        <v>81</v>
      </c>
      <c r="F5" s="2" t="s">
        <v>79</v>
      </c>
      <c r="G5" s="2" t="s">
        <v>80</v>
      </c>
      <c r="H5" s="2" t="s">
        <v>81</v>
      </c>
      <c r="I5" s="2" t="s">
        <v>79</v>
      </c>
      <c r="J5" s="2" t="s">
        <v>80</v>
      </c>
      <c r="K5" s="2" t="s">
        <v>81</v>
      </c>
    </row>
    <row r="6" spans="1:11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x14ac:dyDescent="0.2">
      <c r="A7" s="6" t="s">
        <v>143</v>
      </c>
      <c r="B7" s="2">
        <v>1</v>
      </c>
      <c r="C7" s="6"/>
      <c r="D7" s="6"/>
      <c r="E7" s="6"/>
      <c r="F7" s="6"/>
      <c r="G7" s="6"/>
      <c r="H7" s="6"/>
      <c r="I7" s="6"/>
      <c r="J7" s="6"/>
      <c r="K7" s="6"/>
    </row>
    <row r="8" spans="1:11" x14ac:dyDescent="0.2">
      <c r="A8" s="6" t="s">
        <v>144</v>
      </c>
      <c r="B8" s="2">
        <v>2</v>
      </c>
      <c r="C8" s="6"/>
      <c r="D8" s="6"/>
      <c r="E8" s="6"/>
      <c r="F8" s="6"/>
      <c r="G8" s="6"/>
      <c r="H8" s="6"/>
      <c r="I8" s="6"/>
      <c r="J8" s="6"/>
      <c r="K8" s="6"/>
    </row>
    <row r="9" spans="1:1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2">
      <c r="A10" s="6" t="s">
        <v>137</v>
      </c>
      <c r="B10" s="2">
        <v>9000</v>
      </c>
      <c r="C10" s="2" t="s">
        <v>12</v>
      </c>
      <c r="D10" s="2" t="s">
        <v>12</v>
      </c>
      <c r="E10" s="2" t="s">
        <v>12</v>
      </c>
      <c r="F10" s="2" t="s">
        <v>12</v>
      </c>
      <c r="G10" s="2" t="s">
        <v>12</v>
      </c>
      <c r="H10" s="2" t="s">
        <v>12</v>
      </c>
      <c r="I10" s="6"/>
      <c r="J10" s="6"/>
      <c r="K10" s="6"/>
    </row>
  </sheetData>
  <mergeCells count="5">
    <mergeCell ref="I3:K3"/>
    <mergeCell ref="A3:A5"/>
    <mergeCell ref="B3:B5"/>
    <mergeCell ref="C3:E3"/>
    <mergeCell ref="F3:H3"/>
  </mergeCells>
  <phoneticPr fontId="12" type="noConversion"/>
  <pageMargins left="0.7" right="0.7" top="0.75" bottom="0.75" header="0.3" footer="0.3"/>
  <pageSetup paperSize="9" scale="71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F18"/>
  <sheetViews>
    <sheetView zoomScaleNormal="100" workbookViewId="0">
      <selection activeCell="E11" sqref="E11:E12"/>
    </sheetView>
  </sheetViews>
  <sheetFormatPr defaultRowHeight="12.75" x14ac:dyDescent="0.2"/>
  <cols>
    <col min="1" max="1" width="48.7109375" style="3" customWidth="1"/>
    <col min="2" max="2" width="9.140625" style="3"/>
    <col min="3" max="6" width="16" style="3" customWidth="1"/>
    <col min="7" max="16384" width="9.140625" style="3"/>
  </cols>
  <sheetData>
    <row r="1" spans="1:6" ht="32.25" customHeight="1" x14ac:dyDescent="0.2">
      <c r="A1" s="340" t="s">
        <v>151</v>
      </c>
      <c r="B1" s="340"/>
      <c r="C1" s="340"/>
      <c r="D1" s="340"/>
      <c r="E1" s="340"/>
    </row>
    <row r="2" spans="1:6" x14ac:dyDescent="0.2">
      <c r="A2" s="10"/>
      <c r="B2" s="10"/>
      <c r="C2" s="10"/>
      <c r="D2" s="10"/>
      <c r="E2" s="10"/>
    </row>
    <row r="3" spans="1:6" ht="31.5" customHeight="1" x14ac:dyDescent="0.2">
      <c r="A3" s="341" t="s">
        <v>150</v>
      </c>
      <c r="B3" s="341"/>
      <c r="C3" s="341"/>
      <c r="D3" s="341"/>
      <c r="E3" s="341"/>
    </row>
    <row r="4" spans="1:6" x14ac:dyDescent="0.2">
      <c r="A4" s="335" t="s">
        <v>0</v>
      </c>
      <c r="B4" s="335" t="s">
        <v>1</v>
      </c>
      <c r="C4" s="335" t="s">
        <v>117</v>
      </c>
      <c r="D4" s="335"/>
      <c r="E4" s="335"/>
    </row>
    <row r="5" spans="1:6" x14ac:dyDescent="0.2">
      <c r="A5" s="335"/>
      <c r="B5" s="335"/>
      <c r="C5" s="174" t="s">
        <v>582</v>
      </c>
      <c r="D5" s="174" t="s">
        <v>682</v>
      </c>
      <c r="E5" s="174" t="s">
        <v>694</v>
      </c>
    </row>
    <row r="6" spans="1:6" ht="38.25" x14ac:dyDescent="0.2">
      <c r="A6" s="335"/>
      <c r="B6" s="335"/>
      <c r="C6" s="2" t="s">
        <v>79</v>
      </c>
      <c r="D6" s="2" t="s">
        <v>80</v>
      </c>
      <c r="E6" s="2" t="s">
        <v>81</v>
      </c>
    </row>
    <row r="7" spans="1:6" x14ac:dyDescent="0.2">
      <c r="A7" s="2">
        <v>1</v>
      </c>
      <c r="B7" s="2">
        <v>2</v>
      </c>
      <c r="C7" s="2">
        <v>3</v>
      </c>
      <c r="D7" s="2">
        <v>4</v>
      </c>
      <c r="E7" s="2">
        <v>5</v>
      </c>
    </row>
    <row r="8" spans="1:6" ht="25.5" x14ac:dyDescent="0.2">
      <c r="A8" s="6" t="s">
        <v>118</v>
      </c>
      <c r="B8" s="266" t="s">
        <v>629</v>
      </c>
      <c r="C8" s="5">
        <v>0</v>
      </c>
      <c r="D8" s="5">
        <v>0</v>
      </c>
      <c r="E8" s="5">
        <v>0</v>
      </c>
    </row>
    <row r="9" spans="1:6" ht="38.25" x14ac:dyDescent="0.2">
      <c r="A9" s="6" t="s">
        <v>119</v>
      </c>
      <c r="B9" s="266" t="s">
        <v>630</v>
      </c>
      <c r="C9" s="5">
        <v>0</v>
      </c>
      <c r="D9" s="5">
        <v>0</v>
      </c>
      <c r="E9" s="5">
        <v>0</v>
      </c>
    </row>
    <row r="10" spans="1:6" ht="25.5" x14ac:dyDescent="0.2">
      <c r="A10" s="6" t="s">
        <v>148</v>
      </c>
      <c r="B10" s="266" t="s">
        <v>631</v>
      </c>
      <c r="C10" s="43">
        <f>C11+C13+C14+C15</f>
        <v>71913178</v>
      </c>
      <c r="D10" s="43">
        <f>D11+D13+D14+D15</f>
        <v>71643178</v>
      </c>
      <c r="E10" s="43">
        <f>E11+E13+E14+E15</f>
        <v>71643178</v>
      </c>
    </row>
    <row r="11" spans="1:6" x14ac:dyDescent="0.2">
      <c r="A11" s="6" t="s">
        <v>15</v>
      </c>
      <c r="B11" s="337" t="s">
        <v>641</v>
      </c>
      <c r="C11" s="339">
        <f>'3.2.2'!I16</f>
        <v>71643178</v>
      </c>
      <c r="D11" s="339">
        <f>'3.2.2'!J16</f>
        <v>71643178</v>
      </c>
      <c r="E11" s="339">
        <f>'3.2.2'!K16</f>
        <v>71643178</v>
      </c>
      <c r="F11" s="47"/>
    </row>
    <row r="12" spans="1:6" ht="25.5" x14ac:dyDescent="0.2">
      <c r="A12" s="6" t="s">
        <v>21</v>
      </c>
      <c r="B12" s="338"/>
      <c r="C12" s="339"/>
      <c r="D12" s="339"/>
      <c r="E12" s="339"/>
      <c r="F12" s="47"/>
    </row>
    <row r="13" spans="1:6" ht="38.25" x14ac:dyDescent="0.2">
      <c r="A13" s="6" t="s">
        <v>281</v>
      </c>
      <c r="B13" s="266" t="s">
        <v>669</v>
      </c>
      <c r="C13" s="70">
        <f>'3.2.3'!I8</f>
        <v>0</v>
      </c>
      <c r="D13" s="70">
        <v>0</v>
      </c>
      <c r="E13" s="70">
        <v>0</v>
      </c>
      <c r="F13" s="47"/>
    </row>
    <row r="14" spans="1:6" ht="51" x14ac:dyDescent="0.2">
      <c r="A14" s="6" t="s">
        <v>280</v>
      </c>
      <c r="B14" s="266" t="s">
        <v>670</v>
      </c>
      <c r="C14" s="70">
        <f>'3.2.4'!I14</f>
        <v>270000</v>
      </c>
      <c r="D14" s="70">
        <f>'3.2.4'!J14</f>
        <v>0</v>
      </c>
      <c r="E14" s="70">
        <f>'3.2.4'!K14</f>
        <v>0</v>
      </c>
      <c r="F14" s="47"/>
    </row>
    <row r="15" spans="1:6" ht="38.25" x14ac:dyDescent="0.2">
      <c r="A15" s="6" t="s">
        <v>23</v>
      </c>
      <c r="B15" s="266" t="s">
        <v>671</v>
      </c>
      <c r="C15" s="70">
        <f>'3.2.5'!I17</f>
        <v>0</v>
      </c>
      <c r="D15" s="70">
        <f>'3.2.5'!J17</f>
        <v>0</v>
      </c>
      <c r="E15" s="70">
        <f>'3.2.5'!K17</f>
        <v>0</v>
      </c>
      <c r="F15" s="47"/>
    </row>
    <row r="16" spans="1:6" ht="25.5" x14ac:dyDescent="0.2">
      <c r="A16" s="6" t="s">
        <v>127</v>
      </c>
      <c r="B16" s="266" t="s">
        <v>642</v>
      </c>
      <c r="C16" s="5">
        <v>0</v>
      </c>
      <c r="D16" s="5">
        <v>0</v>
      </c>
      <c r="E16" s="5">
        <v>0</v>
      </c>
    </row>
    <row r="17" spans="1:5" ht="38.25" x14ac:dyDescent="0.2">
      <c r="A17" s="6" t="s">
        <v>128</v>
      </c>
      <c r="B17" s="266" t="s">
        <v>643</v>
      </c>
      <c r="C17" s="5">
        <v>0</v>
      </c>
      <c r="D17" s="5">
        <v>0</v>
      </c>
      <c r="E17" s="5">
        <v>0</v>
      </c>
    </row>
    <row r="18" spans="1:5" ht="38.25" x14ac:dyDescent="0.2">
      <c r="A18" s="6" t="s">
        <v>149</v>
      </c>
      <c r="B18" s="266" t="s">
        <v>644</v>
      </c>
      <c r="C18" s="5">
        <f>C10</f>
        <v>71913178</v>
      </c>
      <c r="D18" s="5">
        <f>D10</f>
        <v>71643178</v>
      </c>
      <c r="E18" s="5">
        <f>E10</f>
        <v>71643178</v>
      </c>
    </row>
  </sheetData>
  <mergeCells count="9">
    <mergeCell ref="B11:B12"/>
    <mergeCell ref="C11:C12"/>
    <mergeCell ref="D11:D12"/>
    <mergeCell ref="E11:E12"/>
    <mergeCell ref="A1:E1"/>
    <mergeCell ref="A3:E3"/>
    <mergeCell ref="A4:A6"/>
    <mergeCell ref="B4:B6"/>
    <mergeCell ref="C4:E4"/>
  </mergeCells>
  <phoneticPr fontId="12" type="noConversion"/>
  <pageMargins left="0.7" right="0.7" top="0.75" bottom="0.75" header="0.3" footer="0.3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opLeftCell="A13" zoomScaleNormal="100" workbookViewId="0">
      <selection activeCell="K15" sqref="K15"/>
    </sheetView>
  </sheetViews>
  <sheetFormatPr defaultRowHeight="12.75" x14ac:dyDescent="0.2"/>
  <cols>
    <col min="1" max="1" width="27.7109375" style="3" customWidth="1"/>
    <col min="2" max="2" width="9.140625" style="3"/>
    <col min="3" max="11" width="15.5703125" style="3" customWidth="1"/>
    <col min="12" max="12" width="13.5703125" style="3" bestFit="1" customWidth="1"/>
    <col min="13" max="13" width="12.5703125" style="3" bestFit="1" customWidth="1"/>
    <col min="14" max="16384" width="9.140625" style="3"/>
  </cols>
  <sheetData>
    <row r="1" spans="1:13" x14ac:dyDescent="0.2">
      <c r="A1" s="3" t="s">
        <v>155</v>
      </c>
    </row>
    <row r="2" spans="1:13" ht="49.5" customHeight="1" x14ac:dyDescent="0.2">
      <c r="A2" s="335" t="s">
        <v>0</v>
      </c>
      <c r="B2" s="335" t="s">
        <v>1</v>
      </c>
      <c r="C2" s="335" t="s">
        <v>152</v>
      </c>
      <c r="D2" s="335"/>
      <c r="E2" s="335"/>
      <c r="F2" s="335" t="s">
        <v>153</v>
      </c>
      <c r="G2" s="335"/>
      <c r="H2" s="335"/>
      <c r="I2" s="335" t="s">
        <v>154</v>
      </c>
      <c r="J2" s="335"/>
      <c r="K2" s="335"/>
    </row>
    <row r="3" spans="1:13" x14ac:dyDescent="0.2">
      <c r="A3" s="335"/>
      <c r="B3" s="335"/>
      <c r="C3" s="18" t="s">
        <v>582</v>
      </c>
      <c r="D3" s="18" t="s">
        <v>614</v>
      </c>
      <c r="E3" s="18" t="s">
        <v>694</v>
      </c>
      <c r="F3" s="290" t="s">
        <v>582</v>
      </c>
      <c r="G3" s="290" t="s">
        <v>614</v>
      </c>
      <c r="H3" s="290" t="s">
        <v>694</v>
      </c>
      <c r="I3" s="290" t="s">
        <v>582</v>
      </c>
      <c r="J3" s="290" t="s">
        <v>614</v>
      </c>
      <c r="K3" s="290" t="s">
        <v>694</v>
      </c>
    </row>
    <row r="4" spans="1:13" ht="38.25" x14ac:dyDescent="0.2">
      <c r="A4" s="335"/>
      <c r="B4" s="335"/>
      <c r="C4" s="2" t="s">
        <v>79</v>
      </c>
      <c r="D4" s="2" t="s">
        <v>80</v>
      </c>
      <c r="E4" s="2" t="s">
        <v>81</v>
      </c>
      <c r="F4" s="2" t="s">
        <v>79</v>
      </c>
      <c r="G4" s="2" t="s">
        <v>80</v>
      </c>
      <c r="H4" s="2" t="s">
        <v>81</v>
      </c>
      <c r="I4" s="2" t="s">
        <v>79</v>
      </c>
      <c r="J4" s="2" t="s">
        <v>80</v>
      </c>
      <c r="K4" s="2" t="s">
        <v>81</v>
      </c>
    </row>
    <row r="5" spans="1:13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3" ht="51" x14ac:dyDescent="0.2">
      <c r="A6" s="59" t="s">
        <v>419</v>
      </c>
      <c r="B6" s="266" t="s">
        <v>645</v>
      </c>
      <c r="C6" s="58">
        <f>I6/F6</f>
        <v>18714.281927710843</v>
      </c>
      <c r="D6" s="58">
        <v>23368.52</v>
      </c>
      <c r="E6" s="58">
        <v>23368.52</v>
      </c>
      <c r="F6" s="2">
        <v>415</v>
      </c>
      <c r="G6" s="2">
        <v>415</v>
      </c>
      <c r="H6" s="2">
        <v>415</v>
      </c>
      <c r="I6" s="58">
        <v>7766427</v>
      </c>
      <c r="J6" s="58">
        <v>7766427</v>
      </c>
      <c r="K6" s="58">
        <v>7766427</v>
      </c>
    </row>
    <row r="7" spans="1:13" ht="63.75" x14ac:dyDescent="0.2">
      <c r="A7" s="6" t="s">
        <v>420</v>
      </c>
      <c r="B7" s="266" t="s">
        <v>646</v>
      </c>
      <c r="C7" s="58">
        <f t="shared" ref="C7:C15" si="0">I7/F7</f>
        <v>194160.67499999999</v>
      </c>
      <c r="D7" s="35">
        <v>46437.16</v>
      </c>
      <c r="E7" s="35">
        <v>46437.16</v>
      </c>
      <c r="F7" s="2">
        <v>40</v>
      </c>
      <c r="G7" s="2">
        <v>40</v>
      </c>
      <c r="H7" s="2">
        <v>40</v>
      </c>
      <c r="I7" s="58">
        <v>7766427</v>
      </c>
      <c r="J7" s="58">
        <v>7766427</v>
      </c>
      <c r="K7" s="58">
        <v>7766427</v>
      </c>
    </row>
    <row r="8" spans="1:13" ht="76.5" x14ac:dyDescent="0.2">
      <c r="A8" s="6" t="s">
        <v>421</v>
      </c>
      <c r="B8" s="266" t="s">
        <v>647</v>
      </c>
      <c r="C8" s="58">
        <f t="shared" si="0"/>
        <v>7766427</v>
      </c>
      <c r="D8" s="35">
        <v>242825.84</v>
      </c>
      <c r="E8" s="35">
        <v>242825.84</v>
      </c>
      <c r="F8" s="2">
        <v>1</v>
      </c>
      <c r="G8" s="2">
        <v>1</v>
      </c>
      <c r="H8" s="2">
        <v>1</v>
      </c>
      <c r="I8" s="58">
        <v>7766427</v>
      </c>
      <c r="J8" s="58">
        <v>7766427</v>
      </c>
      <c r="K8" s="58">
        <v>7766427</v>
      </c>
    </row>
    <row r="9" spans="1:13" ht="51" x14ac:dyDescent="0.2">
      <c r="A9" s="59" t="s">
        <v>422</v>
      </c>
      <c r="B9" s="266" t="s">
        <v>648</v>
      </c>
      <c r="C9" s="58">
        <f t="shared" si="0"/>
        <v>15563.981963927856</v>
      </c>
      <c r="D9" s="35">
        <v>46404.41</v>
      </c>
      <c r="E9" s="35">
        <v>46404.41</v>
      </c>
      <c r="F9" s="2">
        <v>499</v>
      </c>
      <c r="G9" s="2">
        <v>499</v>
      </c>
      <c r="H9" s="2">
        <v>499</v>
      </c>
      <c r="I9" s="58">
        <v>7766427</v>
      </c>
      <c r="J9" s="58">
        <v>7766427</v>
      </c>
      <c r="K9" s="58">
        <v>7766427</v>
      </c>
    </row>
    <row r="10" spans="1:13" ht="63.75" x14ac:dyDescent="0.2">
      <c r="A10" s="6" t="s">
        <v>423</v>
      </c>
      <c r="B10" s="266" t="s">
        <v>649</v>
      </c>
      <c r="C10" s="58">
        <f t="shared" si="0"/>
        <v>3883213.5</v>
      </c>
      <c r="D10" s="35">
        <v>68720.23</v>
      </c>
      <c r="E10" s="35">
        <v>68720.23</v>
      </c>
      <c r="F10" s="2">
        <v>2</v>
      </c>
      <c r="G10" s="2">
        <v>2</v>
      </c>
      <c r="H10" s="2">
        <v>2</v>
      </c>
      <c r="I10" s="58">
        <v>7766427</v>
      </c>
      <c r="J10" s="58">
        <v>7766427</v>
      </c>
      <c r="K10" s="58">
        <v>7766427</v>
      </c>
    </row>
    <row r="11" spans="1:13" ht="76.5" x14ac:dyDescent="0.2">
      <c r="A11" s="6" t="s">
        <v>424</v>
      </c>
      <c r="B11" s="266" t="s">
        <v>650</v>
      </c>
      <c r="C11" s="58">
        <f t="shared" si="0"/>
        <v>7766427</v>
      </c>
      <c r="D11" s="35">
        <v>151407.63</v>
      </c>
      <c r="E11" s="35">
        <v>151407.63</v>
      </c>
      <c r="F11" s="2">
        <v>1</v>
      </c>
      <c r="G11" s="2">
        <v>1</v>
      </c>
      <c r="H11" s="2">
        <v>1</v>
      </c>
      <c r="I11" s="58">
        <v>7766427</v>
      </c>
      <c r="J11" s="58">
        <v>7766427</v>
      </c>
      <c r="K11" s="58">
        <v>7766427</v>
      </c>
    </row>
    <row r="12" spans="1:13" ht="63.75" x14ac:dyDescent="0.2">
      <c r="A12" s="59" t="s">
        <v>425</v>
      </c>
      <c r="B12" s="266" t="s">
        <v>652</v>
      </c>
      <c r="C12" s="58">
        <f t="shared" si="0"/>
        <v>76895.316831683172</v>
      </c>
      <c r="D12" s="35">
        <v>48266.26</v>
      </c>
      <c r="E12" s="35">
        <v>48266.26</v>
      </c>
      <c r="F12" s="2">
        <v>101</v>
      </c>
      <c r="G12" s="2">
        <v>101</v>
      </c>
      <c r="H12" s="2">
        <v>101</v>
      </c>
      <c r="I12" s="58">
        <v>7766427</v>
      </c>
      <c r="J12" s="58">
        <v>7766427</v>
      </c>
      <c r="K12" s="58">
        <v>7766427</v>
      </c>
    </row>
    <row r="13" spans="1:13" ht="63.75" x14ac:dyDescent="0.2">
      <c r="A13" s="6" t="s">
        <v>426</v>
      </c>
      <c r="B13" s="266" t="s">
        <v>651</v>
      </c>
      <c r="C13" s="58">
        <f t="shared" si="0"/>
        <v>7766427</v>
      </c>
      <c r="D13" s="60">
        <v>0</v>
      </c>
      <c r="E13" s="60">
        <v>0</v>
      </c>
      <c r="F13" s="2">
        <v>1</v>
      </c>
      <c r="G13" s="2">
        <v>1</v>
      </c>
      <c r="H13" s="2">
        <v>1</v>
      </c>
      <c r="I13" s="58">
        <v>7766427</v>
      </c>
      <c r="J13" s="58">
        <v>7766427</v>
      </c>
      <c r="K13" s="58">
        <v>7766427</v>
      </c>
    </row>
    <row r="14" spans="1:13" ht="25.5" x14ac:dyDescent="0.2">
      <c r="A14" s="6" t="s">
        <v>427</v>
      </c>
      <c r="B14" s="266" t="s">
        <v>653</v>
      </c>
      <c r="C14" s="58">
        <f t="shared" si="0"/>
        <v>155328.64000000001</v>
      </c>
      <c r="D14" s="35">
        <v>5061.8</v>
      </c>
      <c r="E14" s="35">
        <v>5061.8</v>
      </c>
      <c r="F14" s="2">
        <v>50</v>
      </c>
      <c r="G14" s="2">
        <v>50</v>
      </c>
      <c r="H14" s="2">
        <v>50</v>
      </c>
      <c r="I14" s="58">
        <f>7766427+5</f>
        <v>7766432</v>
      </c>
      <c r="J14" s="58">
        <f>7766427+5</f>
        <v>7766432</v>
      </c>
      <c r="K14" s="58">
        <f>7766427+5</f>
        <v>7766432</v>
      </c>
    </row>
    <row r="15" spans="1:13" ht="38.25" x14ac:dyDescent="0.2">
      <c r="A15" s="59" t="s">
        <v>428</v>
      </c>
      <c r="B15" s="266" t="s">
        <v>654</v>
      </c>
      <c r="C15" s="58">
        <f t="shared" si="0"/>
        <v>5403.4984520123835</v>
      </c>
      <c r="D15" s="35">
        <v>3251.99</v>
      </c>
      <c r="E15" s="35">
        <v>3251.99</v>
      </c>
      <c r="F15" s="2">
        <v>323</v>
      </c>
      <c r="G15" s="2">
        <v>323</v>
      </c>
      <c r="H15" s="2">
        <v>323</v>
      </c>
      <c r="I15" s="35">
        <v>1745330</v>
      </c>
      <c r="J15" s="35">
        <v>1745330</v>
      </c>
      <c r="K15" s="35">
        <v>1745330</v>
      </c>
      <c r="L15" s="104"/>
      <c r="M15" s="122"/>
    </row>
    <row r="16" spans="1:13" x14ac:dyDescent="0.2">
      <c r="A16" s="6" t="s">
        <v>137</v>
      </c>
      <c r="B16" s="2">
        <v>9000</v>
      </c>
      <c r="C16" s="2" t="s">
        <v>12</v>
      </c>
      <c r="D16" s="2" t="s">
        <v>12</v>
      </c>
      <c r="E16" s="2" t="s">
        <v>12</v>
      </c>
      <c r="F16" s="2" t="s">
        <v>12</v>
      </c>
      <c r="G16" s="2" t="s">
        <v>12</v>
      </c>
      <c r="H16" s="2" t="s">
        <v>12</v>
      </c>
      <c r="I16" s="70">
        <f>SUM(I6:I15)</f>
        <v>71643178</v>
      </c>
      <c r="J16" s="129">
        <f>SUM(J6:J15)</f>
        <v>71643178</v>
      </c>
      <c r="K16" s="129">
        <f>SUM(K6:K15)</f>
        <v>71643178</v>
      </c>
      <c r="L16" s="40"/>
      <c r="M16" s="40"/>
    </row>
    <row r="18" spans="1:11" x14ac:dyDescent="0.2">
      <c r="I18" s="122"/>
    </row>
    <row r="19" spans="1:11" x14ac:dyDescent="0.2">
      <c r="I19" s="104"/>
    </row>
    <row r="20" spans="1:11" hidden="1" x14ac:dyDescent="0.2">
      <c r="A20" s="342" t="s">
        <v>282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42"/>
    </row>
    <row r="21" spans="1:11" x14ac:dyDescent="0.2">
      <c r="I21" s="122"/>
    </row>
    <row r="22" spans="1:11" x14ac:dyDescent="0.2">
      <c r="I22" s="122">
        <f>I21/9</f>
        <v>0</v>
      </c>
    </row>
  </sheetData>
  <mergeCells count="6">
    <mergeCell ref="A20:K20"/>
    <mergeCell ref="A2:A4"/>
    <mergeCell ref="B2:B4"/>
    <mergeCell ref="C2:E2"/>
    <mergeCell ref="F2:H2"/>
    <mergeCell ref="I2:K2"/>
  </mergeCells>
  <phoneticPr fontId="12" type="noConversion"/>
  <pageMargins left="0.7" right="0.7" top="0.75" bottom="0.75" header="0.3" footer="0.3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Normal="100" workbookViewId="0">
      <selection activeCell="B8" sqref="B8"/>
    </sheetView>
  </sheetViews>
  <sheetFormatPr defaultRowHeight="12.75" x14ac:dyDescent="0.2"/>
  <cols>
    <col min="1" max="1" width="33.28515625" style="3" customWidth="1"/>
    <col min="2" max="2" width="9.140625" style="3"/>
    <col min="3" max="11" width="13.28515625" style="3" customWidth="1"/>
    <col min="12" max="16384" width="9.140625" style="3"/>
  </cols>
  <sheetData>
    <row r="1" spans="1:11" x14ac:dyDescent="0.2">
      <c r="A1" s="3" t="s">
        <v>156</v>
      </c>
    </row>
    <row r="3" spans="1:11" ht="49.5" customHeight="1" x14ac:dyDescent="0.2">
      <c r="A3" s="335" t="s">
        <v>0</v>
      </c>
      <c r="B3" s="335" t="s">
        <v>1</v>
      </c>
      <c r="C3" s="335" t="s">
        <v>152</v>
      </c>
      <c r="D3" s="335"/>
      <c r="E3" s="335"/>
      <c r="F3" s="335" t="s">
        <v>153</v>
      </c>
      <c r="G3" s="335"/>
      <c r="H3" s="335"/>
      <c r="I3" s="335" t="s">
        <v>154</v>
      </c>
      <c r="J3" s="335"/>
      <c r="K3" s="335"/>
    </row>
    <row r="4" spans="1:11" x14ac:dyDescent="0.2">
      <c r="A4" s="335"/>
      <c r="B4" s="335"/>
      <c r="C4" s="2" t="s">
        <v>4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</row>
    <row r="5" spans="1:11" ht="38.25" x14ac:dyDescent="0.2">
      <c r="A5" s="335"/>
      <c r="B5" s="335"/>
      <c r="C5" s="2" t="s">
        <v>79</v>
      </c>
      <c r="D5" s="2" t="s">
        <v>80</v>
      </c>
      <c r="E5" s="2" t="s">
        <v>81</v>
      </c>
      <c r="F5" s="2" t="s">
        <v>79</v>
      </c>
      <c r="G5" s="2" t="s">
        <v>80</v>
      </c>
      <c r="H5" s="2" t="s">
        <v>81</v>
      </c>
      <c r="I5" s="2" t="s">
        <v>79</v>
      </c>
      <c r="J5" s="2" t="s">
        <v>80</v>
      </c>
      <c r="K5" s="2" t="s">
        <v>81</v>
      </c>
    </row>
    <row r="6" spans="1:11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x14ac:dyDescent="0.2">
      <c r="A7" s="6" t="s">
        <v>283</v>
      </c>
      <c r="B7" s="266" t="s">
        <v>645</v>
      </c>
      <c r="C7" s="12"/>
      <c r="D7" s="6"/>
      <c r="E7" s="6"/>
      <c r="F7" s="12"/>
      <c r="G7" s="6"/>
      <c r="H7" s="6"/>
      <c r="I7" s="5"/>
      <c r="J7" s="5"/>
      <c r="K7" s="5"/>
    </row>
    <row r="8" spans="1:11" x14ac:dyDescent="0.2">
      <c r="A8" s="6" t="s">
        <v>137</v>
      </c>
      <c r="B8" s="2">
        <v>9000</v>
      </c>
      <c r="C8" s="2" t="s">
        <v>12</v>
      </c>
      <c r="D8" s="2" t="s">
        <v>12</v>
      </c>
      <c r="E8" s="2" t="s">
        <v>12</v>
      </c>
      <c r="F8" s="2" t="s">
        <v>12</v>
      </c>
      <c r="G8" s="2" t="s">
        <v>12</v>
      </c>
      <c r="H8" s="2" t="s">
        <v>12</v>
      </c>
      <c r="I8" s="5">
        <f>I7</f>
        <v>0</v>
      </c>
      <c r="J8" s="5">
        <f>J7</f>
        <v>0</v>
      </c>
      <c r="K8" s="5">
        <f>K7</f>
        <v>0</v>
      </c>
    </row>
  </sheetData>
  <mergeCells count="5">
    <mergeCell ref="I3:K3"/>
    <mergeCell ref="A3:A5"/>
    <mergeCell ref="B3:B5"/>
    <mergeCell ref="C3:E3"/>
    <mergeCell ref="F3:H3"/>
  </mergeCells>
  <phoneticPr fontId="12" type="noConversion"/>
  <pageMargins left="0.7" right="0.7" top="0.75" bottom="0.75" header="0.3" footer="0.3"/>
  <pageSetup paperSize="9" scale="81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Normal="100" workbookViewId="0">
      <selection activeCell="A43" sqref="A43"/>
    </sheetView>
  </sheetViews>
  <sheetFormatPr defaultRowHeight="12.75" x14ac:dyDescent="0.2"/>
  <cols>
    <col min="1" max="1" width="29.7109375" style="3" customWidth="1"/>
    <col min="2" max="2" width="9.140625" style="3"/>
    <col min="3" max="11" width="16" style="3" customWidth="1"/>
    <col min="12" max="16384" width="9.140625" style="3"/>
  </cols>
  <sheetData>
    <row r="1" spans="1:11" x14ac:dyDescent="0.2">
      <c r="A1" s="3" t="s">
        <v>157</v>
      </c>
    </row>
    <row r="3" spans="1:11" ht="49.5" customHeight="1" x14ac:dyDescent="0.2">
      <c r="A3" s="335" t="s">
        <v>0</v>
      </c>
      <c r="B3" s="335" t="s">
        <v>1</v>
      </c>
      <c r="C3" s="335" t="s">
        <v>152</v>
      </c>
      <c r="D3" s="335"/>
      <c r="E3" s="335"/>
      <c r="F3" s="335" t="s">
        <v>153</v>
      </c>
      <c r="G3" s="335"/>
      <c r="H3" s="335"/>
      <c r="I3" s="335" t="s">
        <v>154</v>
      </c>
      <c r="J3" s="335"/>
      <c r="K3" s="335"/>
    </row>
    <row r="4" spans="1:11" x14ac:dyDescent="0.2">
      <c r="A4" s="335"/>
      <c r="B4" s="335"/>
      <c r="C4" s="290" t="s">
        <v>582</v>
      </c>
      <c r="D4" s="290" t="s">
        <v>614</v>
      </c>
      <c r="E4" s="290" t="s">
        <v>694</v>
      </c>
      <c r="F4" s="290" t="s">
        <v>582</v>
      </c>
      <c r="G4" s="290" t="s">
        <v>614</v>
      </c>
      <c r="H4" s="290" t="s">
        <v>694</v>
      </c>
      <c r="I4" s="290" t="s">
        <v>582</v>
      </c>
      <c r="J4" s="290" t="s">
        <v>614</v>
      </c>
      <c r="K4" s="290" t="s">
        <v>694</v>
      </c>
    </row>
    <row r="5" spans="1:11" ht="38.25" x14ac:dyDescent="0.2">
      <c r="A5" s="335"/>
      <c r="B5" s="335"/>
      <c r="C5" s="2" t="s">
        <v>79</v>
      </c>
      <c r="D5" s="2" t="s">
        <v>80</v>
      </c>
      <c r="E5" s="2" t="s">
        <v>81</v>
      </c>
      <c r="F5" s="2" t="s">
        <v>79</v>
      </c>
      <c r="G5" s="2" t="s">
        <v>80</v>
      </c>
      <c r="H5" s="2" t="s">
        <v>81</v>
      </c>
      <c r="I5" s="2" t="s">
        <v>79</v>
      </c>
      <c r="J5" s="2" t="s">
        <v>80</v>
      </c>
      <c r="K5" s="2" t="s">
        <v>81</v>
      </c>
    </row>
    <row r="6" spans="1:11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hidden="1" x14ac:dyDescent="0.2">
      <c r="A7" s="6" t="s">
        <v>367</v>
      </c>
      <c r="B7" s="2">
        <v>1</v>
      </c>
      <c r="C7" s="44">
        <v>2400</v>
      </c>
      <c r="D7" s="44">
        <v>2400</v>
      </c>
      <c r="E7" s="44">
        <v>2400</v>
      </c>
      <c r="F7" s="44">
        <v>90</v>
      </c>
      <c r="G7" s="6">
        <v>90</v>
      </c>
      <c r="H7" s="6">
        <v>90</v>
      </c>
      <c r="I7" s="5"/>
      <c r="J7" s="5">
        <v>0</v>
      </c>
      <c r="K7" s="5">
        <v>0</v>
      </c>
    </row>
    <row r="8" spans="1:11" ht="25.5" hidden="1" x14ac:dyDescent="0.2">
      <c r="A8" s="6" t="s">
        <v>368</v>
      </c>
      <c r="B8" s="2">
        <v>2</v>
      </c>
      <c r="C8" s="44">
        <v>2000</v>
      </c>
      <c r="D8" s="44">
        <v>2000</v>
      </c>
      <c r="E8" s="44">
        <v>2000</v>
      </c>
      <c r="F8" s="44">
        <v>80</v>
      </c>
      <c r="G8" s="6">
        <v>80</v>
      </c>
      <c r="H8" s="6">
        <v>80</v>
      </c>
      <c r="I8" s="5"/>
      <c r="J8" s="5">
        <v>0</v>
      </c>
      <c r="K8" s="5">
        <v>0</v>
      </c>
    </row>
    <row r="9" spans="1:11" ht="25.5" x14ac:dyDescent="0.2">
      <c r="A9" s="90" t="s">
        <v>721</v>
      </c>
      <c r="B9" s="266" t="s">
        <v>645</v>
      </c>
      <c r="C9" s="44">
        <v>4500</v>
      </c>
      <c r="D9" s="44">
        <v>0</v>
      </c>
      <c r="E9" s="44">
        <v>0</v>
      </c>
      <c r="F9" s="181">
        <f>I9/C9</f>
        <v>60</v>
      </c>
      <c r="G9" s="44">
        <v>0</v>
      </c>
      <c r="H9" s="44">
        <v>0</v>
      </c>
      <c r="I9" s="147">
        <v>270000</v>
      </c>
      <c r="J9" s="147">
        <v>0</v>
      </c>
      <c r="K9" s="147">
        <v>0</v>
      </c>
    </row>
    <row r="10" spans="1:11" ht="25.5" hidden="1" x14ac:dyDescent="0.2">
      <c r="A10" s="90" t="s">
        <v>720</v>
      </c>
      <c r="B10" s="303" t="s">
        <v>646</v>
      </c>
      <c r="C10" s="44"/>
      <c r="D10" s="44">
        <v>0</v>
      </c>
      <c r="E10" s="44">
        <v>0</v>
      </c>
      <c r="F10" s="181" t="e">
        <f t="shared" ref="F10:F13" si="0">I10/C10</f>
        <v>#DIV/0!</v>
      </c>
      <c r="G10" s="44">
        <v>0</v>
      </c>
      <c r="H10" s="44">
        <v>0</v>
      </c>
      <c r="I10" s="173"/>
      <c r="J10" s="173">
        <v>0</v>
      </c>
      <c r="K10" s="173">
        <v>0</v>
      </c>
    </row>
    <row r="11" spans="1:11" hidden="1" x14ac:dyDescent="0.2">
      <c r="A11" s="90" t="s">
        <v>557</v>
      </c>
      <c r="B11" s="265">
        <v>3</v>
      </c>
      <c r="C11" s="44">
        <v>3600</v>
      </c>
      <c r="D11" s="44">
        <v>0</v>
      </c>
      <c r="E11" s="44">
        <v>0</v>
      </c>
      <c r="F11" s="181">
        <f t="shared" si="0"/>
        <v>0</v>
      </c>
      <c r="G11" s="44">
        <v>0</v>
      </c>
      <c r="H11" s="44">
        <v>0</v>
      </c>
      <c r="I11" s="173"/>
      <c r="J11" s="173">
        <v>0</v>
      </c>
      <c r="K11" s="173">
        <v>0</v>
      </c>
    </row>
    <row r="12" spans="1:11" ht="25.5" hidden="1" x14ac:dyDescent="0.2">
      <c r="A12" s="90" t="s">
        <v>555</v>
      </c>
      <c r="B12" s="265">
        <v>4</v>
      </c>
      <c r="C12" s="44">
        <v>2000</v>
      </c>
      <c r="D12" s="44">
        <v>0</v>
      </c>
      <c r="E12" s="44">
        <v>0</v>
      </c>
      <c r="F12" s="181">
        <f t="shared" si="0"/>
        <v>0</v>
      </c>
      <c r="G12" s="44">
        <v>0</v>
      </c>
      <c r="H12" s="44">
        <v>0</v>
      </c>
      <c r="I12" s="173"/>
      <c r="J12" s="173">
        <v>0</v>
      </c>
      <c r="K12" s="173">
        <v>0</v>
      </c>
    </row>
    <row r="13" spans="1:11" ht="38.25" hidden="1" x14ac:dyDescent="0.2">
      <c r="A13" s="90" t="s">
        <v>610</v>
      </c>
      <c r="B13" s="266" t="s">
        <v>646</v>
      </c>
      <c r="C13" s="44">
        <v>1000</v>
      </c>
      <c r="D13" s="44">
        <v>0</v>
      </c>
      <c r="E13" s="44">
        <v>0</v>
      </c>
      <c r="F13" s="181">
        <f t="shared" si="0"/>
        <v>0</v>
      </c>
      <c r="G13" s="181">
        <v>0</v>
      </c>
      <c r="H13" s="181">
        <v>0</v>
      </c>
      <c r="I13" s="232"/>
      <c r="J13" s="232">
        <v>0</v>
      </c>
      <c r="K13" s="232">
        <v>0</v>
      </c>
    </row>
    <row r="14" spans="1:11" x14ac:dyDescent="0.2">
      <c r="A14" s="6" t="s">
        <v>137</v>
      </c>
      <c r="B14" s="2">
        <v>9000</v>
      </c>
      <c r="C14" s="45" t="s">
        <v>12</v>
      </c>
      <c r="D14" s="45" t="s">
        <v>12</v>
      </c>
      <c r="E14" s="45" t="s">
        <v>12</v>
      </c>
      <c r="F14" s="45" t="s">
        <v>12</v>
      </c>
      <c r="G14" s="2" t="s">
        <v>12</v>
      </c>
      <c r="H14" s="2" t="s">
        <v>12</v>
      </c>
      <c r="I14" s="70">
        <f>I9+I10+I11+I12+I13</f>
        <v>270000</v>
      </c>
      <c r="J14" s="70">
        <f>SUM(J7:J13)</f>
        <v>0</v>
      </c>
      <c r="K14" s="70">
        <f>SUM(K7:K8)</f>
        <v>0</v>
      </c>
    </row>
  </sheetData>
  <mergeCells count="5">
    <mergeCell ref="I3:K3"/>
    <mergeCell ref="A3:A5"/>
    <mergeCell ref="B3:B5"/>
    <mergeCell ref="C3:E3"/>
    <mergeCell ref="F3:H3"/>
  </mergeCells>
  <phoneticPr fontId="12" type="noConversion"/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37</vt:i4>
      </vt:variant>
      <vt:variant>
        <vt:lpstr>Именованные диапазоны</vt:lpstr>
      </vt:variant>
      <vt:variant>
        <vt:i4>10</vt:i4>
      </vt:variant>
    </vt:vector>
  </HeadingPairs>
  <TitlesOfParts>
    <vt:vector size="47" baseType="lpstr">
      <vt:lpstr>Раздел 1.Поступления и выплаты</vt:lpstr>
      <vt:lpstr>Раздел 2.Сведения по выплатам</vt:lpstr>
      <vt:lpstr>3.1.1.</vt:lpstr>
      <vt:lpstr>3.1.2</vt:lpstr>
      <vt:lpstr>3.1.3</vt:lpstr>
      <vt:lpstr>3.2.1</vt:lpstr>
      <vt:lpstr>3.2.2</vt:lpstr>
      <vt:lpstr>3.2.3</vt:lpstr>
      <vt:lpstr>3.2.4</vt:lpstr>
      <vt:lpstr>3.2.5</vt:lpstr>
      <vt:lpstr>3.3.1</vt:lpstr>
      <vt:lpstr>3.4.1</vt:lpstr>
      <vt:lpstr>3.5.1</vt:lpstr>
      <vt:lpstr>3.6.1</vt:lpstr>
      <vt:lpstr>3.6.3</vt:lpstr>
      <vt:lpstr>3.6.4</vt:lpstr>
      <vt:lpstr>3.6.5</vt:lpstr>
      <vt:lpstr>3.7.1</vt:lpstr>
      <vt:lpstr>3.7.2</vt:lpstr>
      <vt:lpstr>3.8.1 (112)</vt:lpstr>
      <vt:lpstr>3.8.2</vt:lpstr>
      <vt:lpstr>3.9</vt:lpstr>
      <vt:lpstr>3.10</vt:lpstr>
      <vt:lpstr>3.11</vt:lpstr>
      <vt:lpstr>3.12</vt:lpstr>
      <vt:lpstr>3.13.1</vt:lpstr>
      <vt:lpstr>3.13.2</vt:lpstr>
      <vt:lpstr>3.13.3</vt:lpstr>
      <vt:lpstr>3.13.4</vt:lpstr>
      <vt:lpstr>3.13.5</vt:lpstr>
      <vt:lpstr>3.13.6</vt:lpstr>
      <vt:lpstr>3.13.7</vt:lpstr>
      <vt:lpstr>3.13.8</vt:lpstr>
      <vt:lpstr>3.13.9</vt:lpstr>
      <vt:lpstr>3.13.10</vt:lpstr>
      <vt:lpstr>3.13.11</vt:lpstr>
      <vt:lpstr>Лист1</vt:lpstr>
      <vt:lpstr>'3.13.1'!Область_печати</vt:lpstr>
      <vt:lpstr>'3.13.10'!Область_печати</vt:lpstr>
      <vt:lpstr>'3.13.11'!Область_печати</vt:lpstr>
      <vt:lpstr>'3.13.3'!Область_печати</vt:lpstr>
      <vt:lpstr>'3.13.6'!Область_печати</vt:lpstr>
      <vt:lpstr>'3.13.8'!Область_печати</vt:lpstr>
      <vt:lpstr>'3.13.9'!Область_печати</vt:lpstr>
      <vt:lpstr>'3.6.3'!Область_печати</vt:lpstr>
      <vt:lpstr>'3.7.2'!Область_печати</vt:lpstr>
      <vt:lpstr>'Раздел 2.Сведения по выплатам'!Область_печати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Руководитель</dc:creator>
  <cp:lastModifiedBy>sch2-B</cp:lastModifiedBy>
  <cp:lastPrinted>2024-01-12T02:20:01Z</cp:lastPrinted>
  <dcterms:created xsi:type="dcterms:W3CDTF">2020-01-22T04:17:51Z</dcterms:created>
  <dcterms:modified xsi:type="dcterms:W3CDTF">2024-01-12T02:20:12Z</dcterms:modified>
</cp:coreProperties>
</file>